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832" yWindow="720" windowWidth="17592" windowHeight="12816" tabRatio="926" firstSheet="12" activeTab="18"/>
  </bookViews>
  <sheets>
    <sheet name="1.Доходы" sheetId="24" r:id="rId1"/>
    <sheet name="2.Расходы по вед." sheetId="1" r:id="rId2"/>
    <sheet name="3.Расходы по РзПр" sheetId="11" r:id="rId3"/>
    <sheet name="4.Приложение по источникам" sheetId="12" r:id="rId4"/>
    <sheet name="5. Размер и структура мун.долга" sheetId="13" r:id="rId5"/>
    <sheet name="6. Программа мун.заим." sheetId="14" r:id="rId6"/>
    <sheet name="7. Программа мун.гарантий" sheetId="15" r:id="rId7"/>
    <sheet name="Справочно.Выполнение МП" sheetId="16" r:id="rId8"/>
    <sheet name="Справочно.ЦС" sheetId="2" r:id="rId9"/>
    <sheet name="Справочно.Содержание ОМСУ" sheetId="18" r:id="rId10"/>
    <sheet name="Справочно.Резервный фонд" sheetId="19" r:id="rId11"/>
    <sheet name="Справочно.Дорожный фонд" sheetId="8" r:id="rId12"/>
    <sheet name="Справочно.инвест.проекты" sheetId="21" r:id="rId13"/>
    <sheet name="Справочно.Бюджетные инвестиции" sheetId="22" r:id="rId14"/>
    <sheet name="Справочно.Исполнение по НП" sheetId="23" r:id="rId15"/>
    <sheet name="справочно.деб.зад." sheetId="25" r:id="rId16"/>
    <sheet name="справочно.кред.зад." sheetId="26" r:id="rId17"/>
    <sheet name="Доходы от использ. имущества" sheetId="27" r:id="rId18"/>
    <sheet name="Доходы от продажи имущества" sheetId="28" r:id="rId19"/>
  </sheets>
  <externalReferences>
    <externalReference r:id="rId20"/>
    <externalReference r:id="rId21"/>
  </externalReferences>
  <definedNames>
    <definedName name="_xlnm._FilterDatabase" localSheetId="1" hidden="1">'2.Расходы по вед.'!$A$9:$F$909</definedName>
    <definedName name="_xlnm._FilterDatabase" localSheetId="2" hidden="1">'3.Расходы по РзПр'!$A$8:$F$8</definedName>
    <definedName name="_xlnm._FilterDatabase" localSheetId="10" hidden="1">'Справочно.Резервный фонд'!$A$9:$F$70</definedName>
    <definedName name="_xlnm._FilterDatabase" localSheetId="8" hidden="1">Справочно.ЦС!$A$8:$D$626</definedName>
    <definedName name="_xlnm.Print_Area" localSheetId="0">'1.Доходы'!$A$1:$F$197</definedName>
    <definedName name="_xlnm.Print_Area" localSheetId="1">'2.Расходы по вед.'!$A$1:$I$909</definedName>
    <definedName name="_xlnm.Print_Area" localSheetId="2">'3.Расходы по РзПр'!$A$1:$E$52</definedName>
    <definedName name="_xlnm.Print_Area" localSheetId="4">'5. Размер и структура мун.долга'!$A$1:$C$12</definedName>
    <definedName name="_xlnm.Print_Area" localSheetId="17">'Доходы от использ. имущества'!$A$1:$G$27</definedName>
    <definedName name="_xlnm.Print_Area" localSheetId="18">'Доходы от продажи имущества'!$A$1:$G$17</definedName>
    <definedName name="_xlnm.Print_Area" localSheetId="7">'Справочно.Выполнение МП'!$A$1:$I$25</definedName>
    <definedName name="_xlnm.Print_Area" localSheetId="11">'Справочно.Дорожный фонд'!$A$1:$N$98</definedName>
    <definedName name="_xlnm.Print_Area" localSheetId="12">Справочно.инвест.проекты!$A$1:$AA$16</definedName>
    <definedName name="_xlnm.Print_Area" localSheetId="14">'Справочно.Исполнение по НП'!$A$1:$F$44</definedName>
    <definedName name="_xlnm.Print_Area" localSheetId="9">'Справочно.Содержание ОМСУ'!$A$1:$H$35</definedName>
    <definedName name="_xlnm.Print_Area" localSheetId="8">Справочно.ЦС!$A$1:$H$620</definedName>
    <definedName name="Таблица_1" localSheetId="0">#REF!</definedName>
    <definedName name="Таблица_1" localSheetId="13">#REF!</definedName>
    <definedName name="Таблица_1" localSheetId="12">#REF!</definedName>
    <definedName name="Таблица_1" localSheetId="14">#REF!</definedName>
    <definedName name="Таблица_1">#REF!</definedName>
  </definedNames>
  <calcPr calcId="145621"/>
</workbook>
</file>

<file path=xl/calcChain.xml><?xml version="1.0" encoding="utf-8"?>
<calcChain xmlns="http://schemas.openxmlformats.org/spreadsheetml/2006/main">
  <c r="D44" i="23" l="1"/>
  <c r="C44" i="23"/>
  <c r="D43" i="23"/>
  <c r="C43" i="23"/>
  <c r="F23" i="23"/>
  <c r="E23" i="23"/>
  <c r="F22" i="23"/>
  <c r="E22" i="23"/>
  <c r="F21" i="23"/>
  <c r="E21" i="23"/>
  <c r="D24" i="23"/>
  <c r="E24" i="23" s="1"/>
  <c r="C24" i="23"/>
  <c r="C21" i="23" s="1"/>
  <c r="D21" i="23"/>
  <c r="D17" i="28"/>
  <c r="E17" i="28"/>
  <c r="F17" i="28"/>
  <c r="G17" i="28"/>
  <c r="F27" i="27"/>
  <c r="E27" i="27"/>
  <c r="D27" i="27"/>
  <c r="C27" i="27"/>
  <c r="G26" i="27"/>
  <c r="G27" i="27" s="1"/>
  <c r="G24" i="27"/>
  <c r="F24" i="27"/>
  <c r="E24" i="27"/>
  <c r="D24" i="27"/>
  <c r="C24" i="27"/>
  <c r="G23" i="27"/>
  <c r="F21" i="27"/>
  <c r="E21" i="27"/>
  <c r="D21" i="27"/>
  <c r="C21" i="27"/>
  <c r="G20" i="27"/>
  <c r="G21" i="27" s="1"/>
  <c r="F18" i="27"/>
  <c r="E18" i="27"/>
  <c r="D18" i="27"/>
  <c r="C18" i="27"/>
  <c r="G17" i="27"/>
  <c r="G18" i="27" s="1"/>
  <c r="G15" i="27"/>
  <c r="F15" i="27"/>
  <c r="E15" i="27"/>
  <c r="D15" i="27"/>
  <c r="C15" i="27"/>
  <c r="G14" i="27"/>
  <c r="BA23" i="26"/>
  <c r="U23" i="26"/>
  <c r="BA13" i="26"/>
  <c r="U13" i="26"/>
  <c r="BU13" i="25"/>
  <c r="BU41" i="25" s="1"/>
  <c r="BK13" i="25"/>
  <c r="BK41" i="25" s="1"/>
  <c r="BA13" i="25"/>
  <c r="U28" i="25"/>
  <c r="BU28" i="25"/>
  <c r="BA28" i="25"/>
  <c r="AP13" i="25"/>
  <c r="AP41" i="25" s="1"/>
  <c r="AE13" i="25"/>
  <c r="AE41" i="25" s="1"/>
  <c r="U13" i="25"/>
  <c r="C42" i="23" l="1"/>
  <c r="D42" i="23"/>
  <c r="F24" i="23"/>
  <c r="BA41" i="25"/>
  <c r="U41" i="25"/>
  <c r="F199" i="24" l="1"/>
  <c r="F198" i="24"/>
  <c r="F196" i="24"/>
  <c r="F195" i="24"/>
  <c r="F194" i="24"/>
  <c r="E192" i="24"/>
  <c r="F192" i="24" s="1"/>
  <c r="D192" i="24"/>
  <c r="C192" i="24"/>
  <c r="F191" i="24"/>
  <c r="E190" i="24"/>
  <c r="F190" i="24" s="1"/>
  <c r="D190" i="24"/>
  <c r="C190" i="24"/>
  <c r="F189" i="24"/>
  <c r="E188" i="24"/>
  <c r="F188" i="24" s="1"/>
  <c r="D188" i="24"/>
  <c r="C188" i="24"/>
  <c r="F187" i="24"/>
  <c r="F186" i="24"/>
  <c r="E186" i="24"/>
  <c r="D186" i="24"/>
  <c r="C186" i="24"/>
  <c r="F185" i="24"/>
  <c r="F184" i="24"/>
  <c r="F183" i="24"/>
  <c r="F182" i="24"/>
  <c r="F181" i="24"/>
  <c r="F180" i="24"/>
  <c r="F179" i="24"/>
  <c r="E177" i="24"/>
  <c r="D177" i="24"/>
  <c r="D173" i="24" s="1"/>
  <c r="C177" i="24"/>
  <c r="C173" i="24" s="1"/>
  <c r="F176" i="24"/>
  <c r="F175" i="24"/>
  <c r="F174" i="24"/>
  <c r="F172" i="24"/>
  <c r="E170" i="24"/>
  <c r="F170" i="24" s="1"/>
  <c r="D170" i="24"/>
  <c r="C170" i="24"/>
  <c r="F169" i="24"/>
  <c r="F168" i="24"/>
  <c r="F167" i="24"/>
  <c r="F166" i="24"/>
  <c r="F165" i="24"/>
  <c r="F164" i="24"/>
  <c r="F163" i="24"/>
  <c r="F162" i="24"/>
  <c r="F161" i="24"/>
  <c r="F160" i="24"/>
  <c r="F159" i="24"/>
  <c r="F158" i="24"/>
  <c r="F157" i="24"/>
  <c r="F156" i="24"/>
  <c r="F155" i="24"/>
  <c r="E153" i="24"/>
  <c r="D153" i="24"/>
  <c r="D152" i="24" s="1"/>
  <c r="C153" i="24"/>
  <c r="C152" i="24" s="1"/>
  <c r="F151" i="24"/>
  <c r="F150" i="24"/>
  <c r="F149" i="24"/>
  <c r="F148" i="24"/>
  <c r="F147" i="24"/>
  <c r="F146" i="24"/>
  <c r="F145" i="24"/>
  <c r="F144" i="24"/>
  <c r="F143" i="24"/>
  <c r="F142" i="24"/>
  <c r="F141" i="24"/>
  <c r="F140" i="24"/>
  <c r="F139" i="24"/>
  <c r="F138" i="24"/>
  <c r="E136" i="24"/>
  <c r="F136" i="24" s="1"/>
  <c r="D136" i="24"/>
  <c r="C136" i="24"/>
  <c r="F135" i="24"/>
  <c r="E134" i="24"/>
  <c r="F134" i="24" s="1"/>
  <c r="D134" i="24"/>
  <c r="C134" i="24"/>
  <c r="F133" i="24"/>
  <c r="E132" i="24"/>
  <c r="F132" i="24" s="1"/>
  <c r="D132" i="24"/>
  <c r="C132" i="24"/>
  <c r="F131" i="24"/>
  <c r="E129" i="24"/>
  <c r="F129" i="24" s="1"/>
  <c r="D129" i="24"/>
  <c r="C129" i="24"/>
  <c r="D128" i="24"/>
  <c r="C128" i="24"/>
  <c r="F127" i="24"/>
  <c r="E126" i="24"/>
  <c r="E125" i="24" s="1"/>
  <c r="D126" i="24"/>
  <c r="C126" i="24"/>
  <c r="D125" i="24"/>
  <c r="C125" i="24"/>
  <c r="F124" i="24"/>
  <c r="E123" i="24"/>
  <c r="F123" i="24" s="1"/>
  <c r="D123" i="24"/>
  <c r="C123" i="24"/>
  <c r="F122" i="24"/>
  <c r="E121" i="24"/>
  <c r="D121" i="24"/>
  <c r="C121" i="24"/>
  <c r="F120" i="24"/>
  <c r="E119" i="24"/>
  <c r="D119" i="24"/>
  <c r="C119" i="24"/>
  <c r="F118" i="24"/>
  <c r="E117" i="24"/>
  <c r="E116" i="24" s="1"/>
  <c r="D117" i="24"/>
  <c r="C117" i="24"/>
  <c r="D116" i="24"/>
  <c r="C116" i="24"/>
  <c r="F114" i="24"/>
  <c r="F113" i="24"/>
  <c r="E111" i="24"/>
  <c r="D111" i="24"/>
  <c r="D108" i="24" s="1"/>
  <c r="C111" i="24"/>
  <c r="C108" i="24" s="1"/>
  <c r="F110" i="24"/>
  <c r="F109" i="24"/>
  <c r="E108" i="24"/>
  <c r="F105" i="24"/>
  <c r="E104" i="24"/>
  <c r="F104" i="24" s="1"/>
  <c r="D104" i="24"/>
  <c r="C104" i="24"/>
  <c r="E102" i="24"/>
  <c r="D102" i="24"/>
  <c r="C102" i="24"/>
  <c r="E100" i="24"/>
  <c r="D100" i="24"/>
  <c r="C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E83" i="24"/>
  <c r="F83" i="24" s="1"/>
  <c r="D83" i="24"/>
  <c r="C83" i="24"/>
  <c r="F82" i="24"/>
  <c r="F81" i="24"/>
  <c r="E80" i="24"/>
  <c r="D80" i="24"/>
  <c r="F80" i="24" s="1"/>
  <c r="C80" i="24"/>
  <c r="C76" i="24" s="1"/>
  <c r="F79" i="24"/>
  <c r="F78" i="24"/>
  <c r="E77" i="24"/>
  <c r="E76" i="24" s="1"/>
  <c r="D77" i="24"/>
  <c r="D76" i="24" s="1"/>
  <c r="C77" i="24"/>
  <c r="F75" i="24"/>
  <c r="F74" i="24"/>
  <c r="E73" i="24"/>
  <c r="F73" i="24" s="1"/>
  <c r="D73" i="24"/>
  <c r="C73" i="24"/>
  <c r="F72" i="24"/>
  <c r="E71" i="24"/>
  <c r="D71" i="24"/>
  <c r="C71" i="24"/>
  <c r="F66" i="24"/>
  <c r="F65" i="24"/>
  <c r="E64" i="24"/>
  <c r="E63" i="24" s="1"/>
  <c r="D64" i="24"/>
  <c r="F64" i="24" s="1"/>
  <c r="F63" i="24" s="1"/>
  <c r="C64" i="24"/>
  <c r="C63" i="24" s="1"/>
  <c r="D63" i="24"/>
  <c r="F62" i="24"/>
  <c r="F61" i="24"/>
  <c r="E61" i="24"/>
  <c r="D61" i="24"/>
  <c r="C61" i="24"/>
  <c r="F59" i="24"/>
  <c r="F58" i="24"/>
  <c r="F56" i="24"/>
  <c r="F55" i="24"/>
  <c r="F54" i="24"/>
  <c r="F53" i="24"/>
  <c r="E52" i="24"/>
  <c r="F52" i="24" s="1"/>
  <c r="D52" i="24"/>
  <c r="D51" i="24" s="1"/>
  <c r="C52" i="24"/>
  <c r="C51" i="24" s="1"/>
  <c r="F49" i="24"/>
  <c r="E48" i="24"/>
  <c r="E45" i="24" s="1"/>
  <c r="D48" i="24"/>
  <c r="C48" i="24"/>
  <c r="F47" i="24"/>
  <c r="F46" i="24"/>
  <c r="E46" i="24"/>
  <c r="D46" i="24"/>
  <c r="C46" i="24"/>
  <c r="C45" i="24" s="1"/>
  <c r="D45" i="24"/>
  <c r="F44" i="24"/>
  <c r="F43" i="24"/>
  <c r="E42" i="24"/>
  <c r="D42" i="24"/>
  <c r="D39" i="24" s="1"/>
  <c r="C42" i="24"/>
  <c r="F41" i="24"/>
  <c r="E40" i="24"/>
  <c r="F40" i="24" s="1"/>
  <c r="D40" i="24"/>
  <c r="C40" i="24"/>
  <c r="C39" i="24"/>
  <c r="F38" i="24"/>
  <c r="F37" i="24" s="1"/>
  <c r="E37" i="24"/>
  <c r="D37" i="24"/>
  <c r="C37" i="24"/>
  <c r="F36" i="24"/>
  <c r="E35" i="24"/>
  <c r="F35" i="24" s="1"/>
  <c r="D35" i="24"/>
  <c r="C35" i="24"/>
  <c r="C29" i="24" s="1"/>
  <c r="F34" i="24"/>
  <c r="E33" i="24"/>
  <c r="D33" i="24"/>
  <c r="C33" i="24"/>
  <c r="F32" i="24"/>
  <c r="F31" i="24"/>
  <c r="E30" i="24"/>
  <c r="F30" i="24" s="1"/>
  <c r="D30" i="24"/>
  <c r="C30" i="24"/>
  <c r="F28" i="24"/>
  <c r="F27" i="24"/>
  <c r="F26" i="24"/>
  <c r="F25" i="24"/>
  <c r="E24" i="24"/>
  <c r="F24" i="24" s="1"/>
  <c r="F23" i="24" s="1"/>
  <c r="D24" i="24"/>
  <c r="C24" i="24"/>
  <c r="E23" i="24"/>
  <c r="D23" i="24"/>
  <c r="C23" i="24"/>
  <c r="F21" i="24"/>
  <c r="F20" i="24"/>
  <c r="F18" i="24"/>
  <c r="F17" i="24"/>
  <c r="F16" i="24"/>
  <c r="F15" i="24"/>
  <c r="E14" i="24"/>
  <c r="F14" i="24" s="1"/>
  <c r="D14" i="24"/>
  <c r="D13" i="24" s="1"/>
  <c r="C14" i="24"/>
  <c r="C13" i="24" s="1"/>
  <c r="F76" i="24" l="1"/>
  <c r="F48" i="24"/>
  <c r="D29" i="24"/>
  <c r="C70" i="24"/>
  <c r="C115" i="24"/>
  <c r="C107" i="24" s="1"/>
  <c r="C106" i="24" s="1"/>
  <c r="E70" i="24"/>
  <c r="F153" i="24"/>
  <c r="F33" i="24"/>
  <c r="F77" i="24"/>
  <c r="F126" i="24"/>
  <c r="D70" i="24"/>
  <c r="F116" i="24"/>
  <c r="D115" i="24"/>
  <c r="D107" i="24" s="1"/>
  <c r="D106" i="24" s="1"/>
  <c r="F177" i="24"/>
  <c r="F45" i="24"/>
  <c r="F119" i="24"/>
  <c r="F42" i="24"/>
  <c r="F71" i="24"/>
  <c r="F111" i="24"/>
  <c r="F117" i="24"/>
  <c r="F121" i="24"/>
  <c r="E128" i="24"/>
  <c r="F128" i="24" s="1"/>
  <c r="D50" i="24"/>
  <c r="F108" i="24"/>
  <c r="F125" i="24"/>
  <c r="D12" i="24"/>
  <c r="C12" i="24"/>
  <c r="C50" i="24"/>
  <c r="F70" i="24"/>
  <c r="E39" i="24"/>
  <c r="F39" i="24" s="1"/>
  <c r="E29" i="24"/>
  <c r="F29" i="24" s="1"/>
  <c r="E13" i="24"/>
  <c r="E51" i="24"/>
  <c r="E152" i="24"/>
  <c r="F152" i="24" s="1"/>
  <c r="E173" i="24"/>
  <c r="F173" i="24" s="1"/>
  <c r="C11" i="24" l="1"/>
  <c r="C197" i="24" s="1"/>
  <c r="E115" i="24"/>
  <c r="F115" i="24" s="1"/>
  <c r="F13" i="24"/>
  <c r="E12" i="24"/>
  <c r="E107" i="24"/>
  <c r="F51" i="24"/>
  <c r="E50" i="24"/>
  <c r="F50" i="24" s="1"/>
  <c r="D11" i="24"/>
  <c r="D197" i="24" s="1"/>
  <c r="C14" i="12" s="1"/>
  <c r="F12" i="24" l="1"/>
  <c r="E11" i="24"/>
  <c r="E106" i="24"/>
  <c r="F106" i="24" s="1"/>
  <c r="F107" i="24"/>
  <c r="E197" i="24" l="1"/>
  <c r="F11" i="24"/>
  <c r="F197" i="24" l="1"/>
  <c r="D14" i="12"/>
  <c r="F34" i="18"/>
  <c r="F32" i="18"/>
  <c r="F30" i="18"/>
  <c r="F25" i="18"/>
  <c r="F15" i="18"/>
  <c r="V14" i="21" l="1"/>
  <c r="H15" i="21"/>
  <c r="I15" i="21" s="1"/>
  <c r="Q15" i="21"/>
  <c r="W15" i="21" l="1"/>
  <c r="V15" i="21" s="1"/>
  <c r="AA15" i="21"/>
  <c r="C41" i="23"/>
  <c r="D41" i="23"/>
  <c r="F40" i="23"/>
  <c r="E40" i="23"/>
  <c r="F39" i="23"/>
  <c r="E39" i="23"/>
  <c r="F38" i="23"/>
  <c r="E38" i="23"/>
  <c r="D37" i="23"/>
  <c r="C37" i="23"/>
  <c r="D36" i="23"/>
  <c r="C36" i="23"/>
  <c r="E532" i="2"/>
  <c r="E525" i="2" s="1"/>
  <c r="G538" i="2"/>
  <c r="F537" i="2"/>
  <c r="G537" i="2" s="1"/>
  <c r="E537" i="2"/>
  <c r="H537" i="2" s="1"/>
  <c r="G536" i="2"/>
  <c r="F535" i="2"/>
  <c r="G535" i="2" s="1"/>
  <c r="E535" i="2"/>
  <c r="G534" i="2"/>
  <c r="F533" i="2"/>
  <c r="G533" i="2" s="1"/>
  <c r="E533" i="2"/>
  <c r="D532" i="2"/>
  <c r="H538" i="2"/>
  <c r="H518" i="1"/>
  <c r="G518" i="1"/>
  <c r="H516" i="1"/>
  <c r="G514" i="1"/>
  <c r="F513" i="1"/>
  <c r="F532" i="2" l="1"/>
  <c r="E36" i="23"/>
  <c r="F36" i="23"/>
  <c r="H536" i="2"/>
  <c r="H535" i="2"/>
  <c r="H534" i="2"/>
  <c r="I517" i="1"/>
  <c r="I518" i="1"/>
  <c r="I519" i="1"/>
  <c r="G516" i="1"/>
  <c r="G513" i="1" s="1"/>
  <c r="I515" i="1"/>
  <c r="H514" i="1"/>
  <c r="H513" i="1" l="1"/>
  <c r="I513" i="1" s="1"/>
  <c r="I516" i="1"/>
  <c r="G532" i="2"/>
  <c r="F525" i="2"/>
  <c r="H533" i="2"/>
  <c r="I514" i="1"/>
  <c r="H532" i="2" l="1"/>
  <c r="C32" i="23"/>
  <c r="F35" i="23"/>
  <c r="E35" i="23"/>
  <c r="F34" i="23"/>
  <c r="E34" i="23"/>
  <c r="F33" i="23"/>
  <c r="E33" i="23"/>
  <c r="D32" i="23"/>
  <c r="D31" i="23"/>
  <c r="C31" i="23"/>
  <c r="D17" i="23"/>
  <c r="C17" i="23"/>
  <c r="D19" i="23"/>
  <c r="C19" i="23"/>
  <c r="F20" i="23"/>
  <c r="E20" i="23"/>
  <c r="F18" i="23"/>
  <c r="E18" i="23"/>
  <c r="D16" i="22"/>
  <c r="C16" i="22"/>
  <c r="K98" i="8"/>
  <c r="K31" i="8"/>
  <c r="N98" i="8"/>
  <c r="M98" i="8"/>
  <c r="L98" i="8"/>
  <c r="M96" i="8"/>
  <c r="L96" i="8"/>
  <c r="M94" i="8"/>
  <c r="L94" i="8"/>
  <c r="M93" i="8"/>
  <c r="L93" i="8"/>
  <c r="N91" i="8"/>
  <c r="M91" i="8"/>
  <c r="L91" i="8"/>
  <c r="M90" i="8"/>
  <c r="L90" i="8"/>
  <c r="N89" i="8"/>
  <c r="M89" i="8"/>
  <c r="L89" i="8"/>
  <c r="N88" i="8"/>
  <c r="M88" i="8"/>
  <c r="L88" i="8"/>
  <c r="N87" i="8"/>
  <c r="M87" i="8"/>
  <c r="L87" i="8"/>
  <c r="N86" i="8"/>
  <c r="M86" i="8"/>
  <c r="L86" i="8"/>
  <c r="N85" i="8"/>
  <c r="M85" i="8"/>
  <c r="L85" i="8"/>
  <c r="N84" i="8"/>
  <c r="M84" i="8"/>
  <c r="L84" i="8"/>
  <c r="N83" i="8"/>
  <c r="M83" i="8"/>
  <c r="L83" i="8"/>
  <c r="N82" i="8"/>
  <c r="M82" i="8"/>
  <c r="L82" i="8"/>
  <c r="M81" i="8"/>
  <c r="L81" i="8"/>
  <c r="N80" i="8"/>
  <c r="M80" i="8"/>
  <c r="L80" i="8"/>
  <c r="N79" i="8"/>
  <c r="M79" i="8"/>
  <c r="L79" i="8"/>
  <c r="N78" i="8"/>
  <c r="M78" i="8"/>
  <c r="L78" i="8"/>
  <c r="N77" i="8"/>
  <c r="M77" i="8"/>
  <c r="L77" i="8"/>
  <c r="N76" i="8"/>
  <c r="M76" i="8"/>
  <c r="L76" i="8"/>
  <c r="N75" i="8"/>
  <c r="M75" i="8"/>
  <c r="L75" i="8"/>
  <c r="N74" i="8"/>
  <c r="M74" i="8"/>
  <c r="L74" i="8"/>
  <c r="N73" i="8"/>
  <c r="M73" i="8"/>
  <c r="L73" i="8"/>
  <c r="N72" i="8"/>
  <c r="M72" i="8"/>
  <c r="L72" i="8"/>
  <c r="N71" i="8"/>
  <c r="M71" i="8"/>
  <c r="L71" i="8"/>
  <c r="N70" i="8"/>
  <c r="M70" i="8"/>
  <c r="L70" i="8"/>
  <c r="N69" i="8"/>
  <c r="M69" i="8"/>
  <c r="L69" i="8"/>
  <c r="N68" i="8"/>
  <c r="M68" i="8"/>
  <c r="L68" i="8"/>
  <c r="N67" i="8"/>
  <c r="M67" i="8"/>
  <c r="L67" i="8"/>
  <c r="N65" i="8"/>
  <c r="M65" i="8"/>
  <c r="L65" i="8"/>
  <c r="N64" i="8"/>
  <c r="M64" i="8"/>
  <c r="L64" i="8"/>
  <c r="N63" i="8"/>
  <c r="M63" i="8"/>
  <c r="L63" i="8"/>
  <c r="N62" i="8"/>
  <c r="M62" i="8"/>
  <c r="L62" i="8"/>
  <c r="N61" i="8"/>
  <c r="M61" i="8"/>
  <c r="L61" i="8"/>
  <c r="N60" i="8"/>
  <c r="M60" i="8"/>
  <c r="L60" i="8"/>
  <c r="N59" i="8"/>
  <c r="M59" i="8"/>
  <c r="L59" i="8"/>
  <c r="N58" i="8"/>
  <c r="M58" i="8"/>
  <c r="L58" i="8"/>
  <c r="N57" i="8"/>
  <c r="M57" i="8"/>
  <c r="L57" i="8"/>
  <c r="N56" i="8"/>
  <c r="M56" i="8"/>
  <c r="L56" i="8"/>
  <c r="N55" i="8"/>
  <c r="M55" i="8"/>
  <c r="L55" i="8"/>
  <c r="N54" i="8"/>
  <c r="M54" i="8"/>
  <c r="L54" i="8"/>
  <c r="N53" i="8"/>
  <c r="M53" i="8"/>
  <c r="L53" i="8"/>
  <c r="N52" i="8"/>
  <c r="M52" i="8"/>
  <c r="L52" i="8"/>
  <c r="N51" i="8"/>
  <c r="M51" i="8"/>
  <c r="L51" i="8"/>
  <c r="M50" i="8"/>
  <c r="L50" i="8"/>
  <c r="N49" i="8"/>
  <c r="M49" i="8"/>
  <c r="L49" i="8"/>
  <c r="N48" i="8"/>
  <c r="M48" i="8"/>
  <c r="L48" i="8"/>
  <c r="N47" i="8"/>
  <c r="M47" i="8"/>
  <c r="L47" i="8"/>
  <c r="N46" i="8"/>
  <c r="M46" i="8"/>
  <c r="L46" i="8"/>
  <c r="N45" i="8"/>
  <c r="M45" i="8"/>
  <c r="L45" i="8"/>
  <c r="N44" i="8"/>
  <c r="M44" i="8"/>
  <c r="L44" i="8"/>
  <c r="N43" i="8"/>
  <c r="M43" i="8"/>
  <c r="L43" i="8"/>
  <c r="N42" i="8"/>
  <c r="M42" i="8"/>
  <c r="L42" i="8"/>
  <c r="N41" i="8"/>
  <c r="M41" i="8"/>
  <c r="L41" i="8"/>
  <c r="N40" i="8"/>
  <c r="M40" i="8"/>
  <c r="L40" i="8"/>
  <c r="N39" i="8"/>
  <c r="M39" i="8"/>
  <c r="L39" i="8"/>
  <c r="N38" i="8"/>
  <c r="M38" i="8"/>
  <c r="L38" i="8"/>
  <c r="N37" i="8"/>
  <c r="M37" i="8"/>
  <c r="L37" i="8"/>
  <c r="L36" i="8"/>
  <c r="L35" i="8"/>
  <c r="M34" i="8"/>
  <c r="L34" i="8"/>
  <c r="N32" i="8"/>
  <c r="M32" i="8"/>
  <c r="L32" i="8"/>
  <c r="M21" i="8"/>
  <c r="L21" i="8"/>
  <c r="G20" i="8"/>
  <c r="N20" i="8"/>
  <c r="M20" i="8"/>
  <c r="L20" i="8"/>
  <c r="N19" i="8"/>
  <c r="M19" i="8"/>
  <c r="L19" i="8"/>
  <c r="L16" i="8" s="1"/>
  <c r="N18" i="8"/>
  <c r="M18" i="8"/>
  <c r="L18" i="8"/>
  <c r="I95" i="8"/>
  <c r="M95" i="8" s="1"/>
  <c r="H95" i="8"/>
  <c r="L95" i="8" s="1"/>
  <c r="J96" i="8"/>
  <c r="J95" i="8" s="1"/>
  <c r="G96" i="8"/>
  <c r="G95" i="8" s="1"/>
  <c r="J93" i="8"/>
  <c r="G93" i="8" s="1"/>
  <c r="J36" i="8"/>
  <c r="I36" i="8"/>
  <c r="F36" i="8"/>
  <c r="N36" i="8" s="1"/>
  <c r="E36" i="8"/>
  <c r="M36" i="8" s="1"/>
  <c r="G49" i="8"/>
  <c r="G48" i="8"/>
  <c r="G43" i="8"/>
  <c r="G44" i="8"/>
  <c r="G42" i="8"/>
  <c r="G41" i="8"/>
  <c r="G40" i="8"/>
  <c r="G45" i="8"/>
  <c r="G46" i="8"/>
  <c r="G47" i="8"/>
  <c r="G37" i="8"/>
  <c r="G38" i="8"/>
  <c r="G39" i="8"/>
  <c r="J50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J66" i="8"/>
  <c r="I66" i="8"/>
  <c r="M66" i="8" s="1"/>
  <c r="H66" i="8"/>
  <c r="L66" i="8" s="1"/>
  <c r="G77" i="8"/>
  <c r="G76" i="8"/>
  <c r="G89" i="8"/>
  <c r="G84" i="8"/>
  <c r="G83" i="8"/>
  <c r="G82" i="8"/>
  <c r="G88" i="8"/>
  <c r="G87" i="8"/>
  <c r="G85" i="8"/>
  <c r="G86" i="8"/>
  <c r="G80" i="8"/>
  <c r="G69" i="8"/>
  <c r="G79" i="8"/>
  <c r="G78" i="8"/>
  <c r="G75" i="8"/>
  <c r="G74" i="8"/>
  <c r="G73" i="8"/>
  <c r="G72" i="8"/>
  <c r="G71" i="8"/>
  <c r="G70" i="8"/>
  <c r="G68" i="8"/>
  <c r="G67" i="8"/>
  <c r="G81" i="8"/>
  <c r="J33" i="8"/>
  <c r="I33" i="8"/>
  <c r="M33" i="8" s="1"/>
  <c r="H33" i="8"/>
  <c r="L33" i="8" s="1"/>
  <c r="J31" i="8"/>
  <c r="I31" i="8"/>
  <c r="H31" i="8"/>
  <c r="F31" i="8"/>
  <c r="N31" i="8" s="1"/>
  <c r="E31" i="8"/>
  <c r="M31" i="8" s="1"/>
  <c r="D31" i="8"/>
  <c r="L31" i="8" s="1"/>
  <c r="G34" i="8"/>
  <c r="G33" i="8" s="1"/>
  <c r="G32" i="8"/>
  <c r="G31" i="8" s="1"/>
  <c r="E69" i="19"/>
  <c r="E70" i="19"/>
  <c r="F31" i="23" l="1"/>
  <c r="E31" i="23"/>
  <c r="E19" i="23"/>
  <c r="F19" i="23"/>
  <c r="E17" i="23"/>
  <c r="F17" i="23"/>
  <c r="G50" i="8"/>
  <c r="G66" i="8"/>
  <c r="E29" i="18"/>
  <c r="D29" i="18"/>
  <c r="E26" i="18"/>
  <c r="D26" i="18"/>
  <c r="E24" i="18"/>
  <c r="D24" i="18"/>
  <c r="E23" i="18"/>
  <c r="D23" i="18"/>
  <c r="E19" i="18"/>
  <c r="D19" i="18"/>
  <c r="E18" i="18"/>
  <c r="D18" i="18"/>
  <c r="F383" i="2" l="1"/>
  <c r="E383" i="2"/>
  <c r="F211" i="2"/>
  <c r="F216" i="2"/>
  <c r="E216" i="2"/>
  <c r="G219" i="2"/>
  <c r="H219" i="2"/>
  <c r="F25" i="2"/>
  <c r="E25" i="2"/>
  <c r="D586" i="2"/>
  <c r="H617" i="2"/>
  <c r="G617" i="2"/>
  <c r="F616" i="2"/>
  <c r="E616" i="2"/>
  <c r="D616" i="2"/>
  <c r="H556" i="2"/>
  <c r="H555" i="2"/>
  <c r="H554" i="2"/>
  <c r="H551" i="2"/>
  <c r="H550" i="2"/>
  <c r="H549" i="2"/>
  <c r="G556" i="2"/>
  <c r="G555" i="2"/>
  <c r="G554" i="2"/>
  <c r="F553" i="2"/>
  <c r="E553" i="2"/>
  <c r="E552" i="2" s="1"/>
  <c r="G551" i="2"/>
  <c r="G550" i="2"/>
  <c r="G549" i="2"/>
  <c r="F548" i="2"/>
  <c r="E548" i="2"/>
  <c r="E547" i="2" s="1"/>
  <c r="F519" i="2"/>
  <c r="E519" i="2"/>
  <c r="F508" i="2"/>
  <c r="E508" i="2"/>
  <c r="G511" i="2"/>
  <c r="H511" i="2"/>
  <c r="F443" i="2"/>
  <c r="F441" i="2" s="1"/>
  <c r="E443" i="2"/>
  <c r="E442" i="2"/>
  <c r="F430" i="2"/>
  <c r="E430" i="2"/>
  <c r="H427" i="2"/>
  <c r="H426" i="2"/>
  <c r="G427" i="2"/>
  <c r="G426" i="2"/>
  <c r="F425" i="2"/>
  <c r="F424" i="2" s="1"/>
  <c r="E425" i="2"/>
  <c r="E424" i="2" s="1"/>
  <c r="H422" i="2"/>
  <c r="G422" i="2"/>
  <c r="F421" i="2"/>
  <c r="E421" i="2"/>
  <c r="F406" i="2"/>
  <c r="E406" i="2"/>
  <c r="H407" i="2"/>
  <c r="G407" i="2"/>
  <c r="F369" i="2"/>
  <c r="E369" i="2"/>
  <c r="H370" i="2"/>
  <c r="G370" i="2"/>
  <c r="F379" i="2"/>
  <c r="E379" i="2"/>
  <c r="D379" i="2"/>
  <c r="F376" i="2"/>
  <c r="E376" i="2"/>
  <c r="H378" i="2"/>
  <c r="G378" i="2"/>
  <c r="H375" i="2"/>
  <c r="G375" i="2"/>
  <c r="F373" i="2"/>
  <c r="E373" i="2"/>
  <c r="F340" i="2"/>
  <c r="E340" i="2"/>
  <c r="H341" i="2"/>
  <c r="G341" i="2"/>
  <c r="G357" i="2"/>
  <c r="F356" i="2"/>
  <c r="E356" i="2"/>
  <c r="D356" i="2"/>
  <c r="F324" i="2"/>
  <c r="E324" i="2"/>
  <c r="D324" i="2"/>
  <c r="H316" i="2"/>
  <c r="G316" i="2"/>
  <c r="F314" i="2"/>
  <c r="E314" i="2"/>
  <c r="H308" i="2"/>
  <c r="H307" i="2"/>
  <c r="G308" i="2"/>
  <c r="G307" i="2"/>
  <c r="F306" i="2"/>
  <c r="E306" i="2"/>
  <c r="E305" i="2" s="1"/>
  <c r="E304" i="2" s="1"/>
  <c r="D306" i="2"/>
  <c r="D305" i="2" s="1"/>
  <c r="D304" i="2" s="1"/>
  <c r="F299" i="2"/>
  <c r="E299" i="2"/>
  <c r="H300" i="2"/>
  <c r="G300" i="2"/>
  <c r="F283" i="2"/>
  <c r="F282" i="2" s="1"/>
  <c r="F281" i="2" s="1"/>
  <c r="E283" i="2"/>
  <c r="E282" i="2" s="1"/>
  <c r="E281" i="2" s="1"/>
  <c r="H274" i="2"/>
  <c r="H273" i="2"/>
  <c r="G274" i="2"/>
  <c r="G273" i="2"/>
  <c r="F256" i="2"/>
  <c r="G258" i="2"/>
  <c r="G257" i="2"/>
  <c r="F260" i="2"/>
  <c r="E260" i="2"/>
  <c r="H261" i="2"/>
  <c r="G261" i="2"/>
  <c r="H213" i="2"/>
  <c r="G213" i="2"/>
  <c r="E211" i="2"/>
  <c r="G193" i="2"/>
  <c r="G192" i="2"/>
  <c r="F191" i="2"/>
  <c r="E191" i="2"/>
  <c r="E190" i="2" s="1"/>
  <c r="D191" i="2"/>
  <c r="D190" i="2" s="1"/>
  <c r="H193" i="2"/>
  <c r="H192" i="2"/>
  <c r="F149" i="2"/>
  <c r="E149" i="2"/>
  <c r="E131" i="2"/>
  <c r="H126" i="2"/>
  <c r="G126" i="2"/>
  <c r="H125" i="2"/>
  <c r="G125" i="2"/>
  <c r="H122" i="2"/>
  <c r="G122" i="2"/>
  <c r="H121" i="2"/>
  <c r="G121" i="2"/>
  <c r="F118" i="2"/>
  <c r="E118" i="2"/>
  <c r="F115" i="2"/>
  <c r="F114" i="2" s="1"/>
  <c r="E115" i="2"/>
  <c r="F111" i="2"/>
  <c r="H108" i="2"/>
  <c r="G108" i="2"/>
  <c r="F107" i="2"/>
  <c r="E107" i="2"/>
  <c r="H93" i="2"/>
  <c r="G93" i="2"/>
  <c r="H92" i="2"/>
  <c r="G92" i="2"/>
  <c r="H28" i="2"/>
  <c r="G28" i="2"/>
  <c r="H619" i="2"/>
  <c r="G619" i="2"/>
  <c r="H615" i="2"/>
  <c r="G615" i="2"/>
  <c r="H611" i="2"/>
  <c r="G611" i="2"/>
  <c r="H609" i="2"/>
  <c r="G609" i="2"/>
  <c r="H607" i="2"/>
  <c r="G607" i="2"/>
  <c r="H605" i="2"/>
  <c r="G605" i="2"/>
  <c r="H603" i="2"/>
  <c r="G603" i="2"/>
  <c r="H601" i="2"/>
  <c r="G601" i="2"/>
  <c r="H597" i="2"/>
  <c r="G597" i="2"/>
  <c r="H595" i="2"/>
  <c r="G595" i="2"/>
  <c r="H593" i="2"/>
  <c r="G593" i="2"/>
  <c r="H591" i="2"/>
  <c r="G591" i="2"/>
  <c r="H590" i="2"/>
  <c r="G590" i="2"/>
  <c r="H588" i="2"/>
  <c r="G588" i="2"/>
  <c r="H587" i="2"/>
  <c r="G587" i="2"/>
  <c r="H584" i="2"/>
  <c r="G584" i="2"/>
  <c r="H580" i="2"/>
  <c r="G580" i="2"/>
  <c r="H578" i="2"/>
  <c r="G578" i="2"/>
  <c r="H576" i="2"/>
  <c r="G576" i="2"/>
  <c r="H573" i="2"/>
  <c r="G573" i="2"/>
  <c r="H571" i="2"/>
  <c r="G571" i="2"/>
  <c r="H568" i="2"/>
  <c r="G568" i="2"/>
  <c r="H566" i="2"/>
  <c r="G566" i="2"/>
  <c r="H563" i="2"/>
  <c r="G563" i="2"/>
  <c r="H559" i="2"/>
  <c r="G559" i="2"/>
  <c r="H546" i="2"/>
  <c r="G546" i="2"/>
  <c r="H545" i="2"/>
  <c r="G545" i="2"/>
  <c r="H542" i="2"/>
  <c r="G542" i="2"/>
  <c r="H531" i="2"/>
  <c r="G531" i="2"/>
  <c r="H530" i="2"/>
  <c r="G530" i="2"/>
  <c r="H529" i="2"/>
  <c r="G529" i="2"/>
  <c r="H524" i="2"/>
  <c r="G524" i="2"/>
  <c r="H520" i="2"/>
  <c r="G520" i="2"/>
  <c r="H516" i="2"/>
  <c r="G516" i="2"/>
  <c r="H514" i="2"/>
  <c r="G514" i="2"/>
  <c r="H510" i="2"/>
  <c r="G510" i="2"/>
  <c r="H509" i="2"/>
  <c r="G509" i="2"/>
  <c r="H507" i="2"/>
  <c r="G507" i="2"/>
  <c r="H505" i="2"/>
  <c r="G505" i="2"/>
  <c r="H503" i="2"/>
  <c r="G503" i="2"/>
  <c r="H499" i="2"/>
  <c r="G499" i="2"/>
  <c r="H498" i="2"/>
  <c r="G498" i="2"/>
  <c r="H494" i="2"/>
  <c r="G494" i="2"/>
  <c r="H493" i="2"/>
  <c r="G493" i="2"/>
  <c r="H492" i="2"/>
  <c r="G492" i="2"/>
  <c r="H487" i="2"/>
  <c r="G487" i="2"/>
  <c r="H484" i="2"/>
  <c r="G484" i="2"/>
  <c r="H480" i="2"/>
  <c r="G480" i="2"/>
  <c r="H476" i="2"/>
  <c r="G476" i="2"/>
  <c r="H475" i="2"/>
  <c r="G475" i="2"/>
  <c r="H474" i="2"/>
  <c r="G474" i="2"/>
  <c r="H470" i="2"/>
  <c r="G470" i="2"/>
  <c r="H467" i="2"/>
  <c r="G467" i="2"/>
  <c r="H463" i="2"/>
  <c r="G463" i="2"/>
  <c r="H462" i="2"/>
  <c r="G462" i="2"/>
  <c r="H458" i="2"/>
  <c r="G458" i="2"/>
  <c r="H455" i="2"/>
  <c r="G455" i="2"/>
  <c r="H450" i="2"/>
  <c r="G450" i="2"/>
  <c r="H449" i="2"/>
  <c r="G449" i="2"/>
  <c r="H440" i="2"/>
  <c r="G440" i="2"/>
  <c r="H438" i="2"/>
  <c r="G438" i="2"/>
  <c r="H436" i="2"/>
  <c r="G436" i="2"/>
  <c r="H434" i="2"/>
  <c r="G434" i="2"/>
  <c r="H432" i="2"/>
  <c r="G432" i="2"/>
  <c r="H431" i="2"/>
  <c r="G431" i="2"/>
  <c r="H423" i="2"/>
  <c r="G423" i="2"/>
  <c r="H419" i="2"/>
  <c r="G419" i="2"/>
  <c r="H418" i="2"/>
  <c r="G418" i="2"/>
  <c r="H414" i="2"/>
  <c r="G414" i="2"/>
  <c r="H408" i="2"/>
  <c r="G408" i="2"/>
  <c r="H404" i="2"/>
  <c r="G404" i="2"/>
  <c r="H402" i="2"/>
  <c r="G402" i="2"/>
  <c r="H400" i="2"/>
  <c r="G400" i="2"/>
  <c r="H398" i="2"/>
  <c r="G398" i="2"/>
  <c r="H396" i="2"/>
  <c r="G396" i="2"/>
  <c r="H394" i="2"/>
  <c r="G394" i="2"/>
  <c r="H391" i="2"/>
  <c r="G391" i="2"/>
  <c r="H389" i="2"/>
  <c r="G389" i="2"/>
  <c r="H387" i="2"/>
  <c r="G387" i="2"/>
  <c r="H385" i="2"/>
  <c r="G385" i="2"/>
  <c r="H381" i="2"/>
  <c r="G381" i="2"/>
  <c r="H380" i="2"/>
  <c r="G380" i="2"/>
  <c r="H377" i="2"/>
  <c r="G377" i="2"/>
  <c r="H374" i="2"/>
  <c r="G374" i="2"/>
  <c r="H372" i="2"/>
  <c r="G372" i="2"/>
  <c r="H371" i="2"/>
  <c r="G371" i="2"/>
  <c r="H365" i="2"/>
  <c r="G365" i="2"/>
  <c r="H364" i="2"/>
  <c r="G364" i="2"/>
  <c r="H363" i="2"/>
  <c r="G363" i="2"/>
  <c r="H355" i="2"/>
  <c r="G355" i="2"/>
  <c r="H353" i="2"/>
  <c r="H351" i="2"/>
  <c r="G351" i="2"/>
  <c r="H349" i="2"/>
  <c r="G349" i="2"/>
  <c r="H346" i="2"/>
  <c r="G346" i="2"/>
  <c r="H342" i="2"/>
  <c r="G342" i="2"/>
  <c r="H337" i="2"/>
  <c r="G337" i="2"/>
  <c r="H334" i="2"/>
  <c r="H332" i="2"/>
  <c r="G332" i="2"/>
  <c r="H327" i="2"/>
  <c r="G327" i="2"/>
  <c r="H325" i="2"/>
  <c r="G325" i="2"/>
  <c r="H323" i="2"/>
  <c r="G323" i="2"/>
  <c r="H322" i="2"/>
  <c r="G322" i="2"/>
  <c r="H321" i="2"/>
  <c r="G321" i="2"/>
  <c r="H315" i="2"/>
  <c r="G315" i="2"/>
  <c r="H313" i="2"/>
  <c r="G313" i="2"/>
  <c r="H303" i="2"/>
  <c r="G303" i="2"/>
  <c r="H301" i="2"/>
  <c r="G301" i="2"/>
  <c r="H289" i="2"/>
  <c r="G289" i="2"/>
  <c r="H285" i="2"/>
  <c r="G285" i="2"/>
  <c r="H284" i="2"/>
  <c r="G284" i="2"/>
  <c r="H279" i="2"/>
  <c r="G279" i="2"/>
  <c r="H277" i="2"/>
  <c r="G277" i="2"/>
  <c r="H270" i="2"/>
  <c r="G270" i="2"/>
  <c r="H268" i="2"/>
  <c r="G268" i="2"/>
  <c r="H265" i="2"/>
  <c r="G265" i="2"/>
  <c r="H262" i="2"/>
  <c r="G262" i="2"/>
  <c r="H255" i="2"/>
  <c r="G255" i="2"/>
  <c r="H253" i="2"/>
  <c r="G253" i="2"/>
  <c r="H232" i="2"/>
  <c r="G232" i="2"/>
  <c r="H229" i="2"/>
  <c r="G229" i="2"/>
  <c r="H228" i="2"/>
  <c r="G228" i="2"/>
  <c r="H225" i="2"/>
  <c r="G225" i="2"/>
  <c r="H223" i="2"/>
  <c r="G223" i="2"/>
  <c r="H221" i="2"/>
  <c r="G221" i="2"/>
  <c r="H218" i="2"/>
  <c r="G218" i="2"/>
  <c r="H217" i="2"/>
  <c r="G217" i="2"/>
  <c r="H215" i="2"/>
  <c r="G215" i="2"/>
  <c r="H212" i="2"/>
  <c r="G212" i="2"/>
  <c r="H208" i="2"/>
  <c r="G208" i="2"/>
  <c r="H207" i="2"/>
  <c r="G207" i="2"/>
  <c r="H205" i="2"/>
  <c r="G205" i="2"/>
  <c r="H202" i="2"/>
  <c r="G202" i="2"/>
  <c r="H201" i="2"/>
  <c r="G201" i="2"/>
  <c r="H200" i="2"/>
  <c r="G200" i="2"/>
  <c r="H197" i="2"/>
  <c r="G197" i="2"/>
  <c r="H189" i="2"/>
  <c r="G189" i="2"/>
  <c r="H184" i="2"/>
  <c r="G184" i="2"/>
  <c r="H183" i="2"/>
  <c r="G183" i="2"/>
  <c r="H179" i="2"/>
  <c r="G179" i="2"/>
  <c r="H178" i="2"/>
  <c r="G178" i="2"/>
  <c r="H174" i="2"/>
  <c r="G174" i="2"/>
  <c r="H172" i="2"/>
  <c r="G172" i="2"/>
  <c r="H170" i="2"/>
  <c r="G170" i="2"/>
  <c r="H166" i="2"/>
  <c r="G166" i="2"/>
  <c r="H165" i="2"/>
  <c r="G165" i="2"/>
  <c r="H163" i="2"/>
  <c r="G163" i="2"/>
  <c r="H162" i="2"/>
  <c r="G162" i="2"/>
  <c r="H159" i="2"/>
  <c r="G159" i="2"/>
  <c r="H157" i="2"/>
  <c r="G157" i="2"/>
  <c r="H153" i="2"/>
  <c r="G153" i="2"/>
  <c r="H152" i="2"/>
  <c r="G152" i="2"/>
  <c r="H151" i="2"/>
  <c r="G151" i="2"/>
  <c r="H148" i="2"/>
  <c r="G148" i="2"/>
  <c r="H146" i="2"/>
  <c r="G146" i="2"/>
  <c r="H142" i="2"/>
  <c r="G142" i="2"/>
  <c r="H140" i="2"/>
  <c r="G140" i="2"/>
  <c r="H138" i="2"/>
  <c r="G138" i="2"/>
  <c r="H136" i="2"/>
  <c r="G136" i="2"/>
  <c r="H134" i="2"/>
  <c r="G134" i="2"/>
  <c r="H132" i="2"/>
  <c r="G132" i="2"/>
  <c r="H129" i="2"/>
  <c r="G129" i="2"/>
  <c r="H124" i="2"/>
  <c r="G124" i="2"/>
  <c r="H112" i="2"/>
  <c r="G112" i="2"/>
  <c r="H110" i="2"/>
  <c r="H106" i="2"/>
  <c r="G106" i="2"/>
  <c r="H104" i="2"/>
  <c r="G104" i="2"/>
  <c r="H102" i="2"/>
  <c r="G102" i="2"/>
  <c r="H100" i="2"/>
  <c r="G100" i="2"/>
  <c r="H96" i="2"/>
  <c r="G96" i="2"/>
  <c r="H91" i="2"/>
  <c r="G91" i="2"/>
  <c r="H90" i="2"/>
  <c r="G90" i="2"/>
  <c r="H87" i="2"/>
  <c r="G87" i="2"/>
  <c r="H85" i="2"/>
  <c r="G85" i="2"/>
  <c r="H81" i="2"/>
  <c r="G81" i="2"/>
  <c r="H80" i="2"/>
  <c r="G80" i="2"/>
  <c r="H77" i="2"/>
  <c r="G77" i="2"/>
  <c r="H75" i="2"/>
  <c r="G75" i="2"/>
  <c r="H73" i="2"/>
  <c r="G73" i="2"/>
  <c r="H71" i="2"/>
  <c r="G71" i="2"/>
  <c r="H70" i="2"/>
  <c r="G70" i="2"/>
  <c r="H68" i="2"/>
  <c r="G68" i="2"/>
  <c r="H56" i="2"/>
  <c r="G56" i="2"/>
  <c r="H54" i="2"/>
  <c r="G54" i="2"/>
  <c r="H53" i="2"/>
  <c r="G53" i="2"/>
  <c r="H51" i="2"/>
  <c r="G51" i="2"/>
  <c r="H49" i="2"/>
  <c r="G49" i="2"/>
  <c r="H47" i="2"/>
  <c r="G47" i="2"/>
  <c r="H46" i="2"/>
  <c r="G46" i="2"/>
  <c r="H44" i="2"/>
  <c r="G44" i="2"/>
  <c r="H43" i="2"/>
  <c r="G43" i="2"/>
  <c r="H41" i="2"/>
  <c r="G41" i="2"/>
  <c r="H39" i="2"/>
  <c r="G39" i="2"/>
  <c r="H38" i="2"/>
  <c r="G38" i="2"/>
  <c r="H36" i="2"/>
  <c r="G36" i="2"/>
  <c r="H35" i="2"/>
  <c r="G35" i="2"/>
  <c r="H29" i="2"/>
  <c r="G29" i="2"/>
  <c r="H27" i="2"/>
  <c r="G27" i="2"/>
  <c r="H26" i="2"/>
  <c r="G26" i="2"/>
  <c r="H20" i="2"/>
  <c r="G20" i="2"/>
  <c r="H18" i="2"/>
  <c r="G18" i="2"/>
  <c r="G424" i="2" l="1"/>
  <c r="G553" i="2"/>
  <c r="H548" i="2"/>
  <c r="H553" i="2"/>
  <c r="G548" i="2"/>
  <c r="H616" i="2"/>
  <c r="G616" i="2"/>
  <c r="F547" i="2"/>
  <c r="G547" i="2" s="1"/>
  <c r="F552" i="2"/>
  <c r="E441" i="2"/>
  <c r="H443" i="2"/>
  <c r="H424" i="2"/>
  <c r="G356" i="2"/>
  <c r="H425" i="2"/>
  <c r="G443" i="2"/>
  <c r="G425" i="2"/>
  <c r="G340" i="2"/>
  <c r="H340" i="2"/>
  <c r="G306" i="2"/>
  <c r="F305" i="2"/>
  <c r="H306" i="2"/>
  <c r="G260" i="2"/>
  <c r="H191" i="2"/>
  <c r="G283" i="2"/>
  <c r="G281" i="2"/>
  <c r="H282" i="2"/>
  <c r="H281" i="2"/>
  <c r="G282" i="2"/>
  <c r="H283" i="2"/>
  <c r="H260" i="2"/>
  <c r="F190" i="2"/>
  <c r="G190" i="2" s="1"/>
  <c r="G115" i="2"/>
  <c r="G107" i="2"/>
  <c r="G191" i="2"/>
  <c r="H107" i="2"/>
  <c r="H115" i="2"/>
  <c r="E114" i="2"/>
  <c r="G114" i="2" s="1"/>
  <c r="F618" i="2"/>
  <c r="E618" i="2"/>
  <c r="F614" i="2"/>
  <c r="E614" i="2"/>
  <c r="F613" i="2"/>
  <c r="E613" i="2"/>
  <c r="E612" i="2" s="1"/>
  <c r="F610" i="2"/>
  <c r="E610" i="2"/>
  <c r="F608" i="2"/>
  <c r="E608" i="2"/>
  <c r="F606" i="2"/>
  <c r="E606" i="2"/>
  <c r="F604" i="2"/>
  <c r="E604" i="2"/>
  <c r="F602" i="2"/>
  <c r="E602" i="2"/>
  <c r="F600" i="2"/>
  <c r="E600" i="2"/>
  <c r="E599" i="2"/>
  <c r="E598" i="2" s="1"/>
  <c r="F596" i="2"/>
  <c r="E596" i="2"/>
  <c r="F594" i="2"/>
  <c r="E594" i="2"/>
  <c r="F592" i="2"/>
  <c r="E592" i="2"/>
  <c r="F589" i="2"/>
  <c r="E589" i="2"/>
  <c r="E585" i="2"/>
  <c r="F583" i="2"/>
  <c r="E583" i="2"/>
  <c r="F582" i="2"/>
  <c r="F581" i="2" s="1"/>
  <c r="E582" i="2"/>
  <c r="E581" i="2" s="1"/>
  <c r="F579" i="2"/>
  <c r="E579" i="2"/>
  <c r="F577" i="2"/>
  <c r="E577" i="2"/>
  <c r="F575" i="2"/>
  <c r="E575" i="2"/>
  <c r="E574" i="2" s="1"/>
  <c r="F570" i="2"/>
  <c r="E572" i="2"/>
  <c r="E570" i="2" s="1"/>
  <c r="F567" i="2"/>
  <c r="E567" i="2"/>
  <c r="F565" i="2"/>
  <c r="F564" i="2" s="1"/>
  <c r="E565" i="2"/>
  <c r="F562" i="2"/>
  <c r="E562" i="2"/>
  <c r="F558" i="2"/>
  <c r="F557" i="2" s="1"/>
  <c r="E558" i="2"/>
  <c r="F544" i="2"/>
  <c r="F543" i="2" s="1"/>
  <c r="E544" i="2"/>
  <c r="F541" i="2"/>
  <c r="E541" i="2"/>
  <c r="F523" i="2"/>
  <c r="F522" i="2" s="1"/>
  <c r="E523" i="2"/>
  <c r="F517" i="2"/>
  <c r="F515" i="2" s="1"/>
  <c r="E517" i="2"/>
  <c r="E515" i="2" s="1"/>
  <c r="F513" i="2"/>
  <c r="E513" i="2"/>
  <c r="F506" i="2"/>
  <c r="E506" i="2"/>
  <c r="F504" i="2"/>
  <c r="E504" i="2"/>
  <c r="F502" i="2"/>
  <c r="E502" i="2"/>
  <c r="F497" i="2"/>
  <c r="F496" i="2" s="1"/>
  <c r="E497" i="2"/>
  <c r="F491" i="2"/>
  <c r="F490" i="2" s="1"/>
  <c r="F489" i="2" s="1"/>
  <c r="E491" i="2"/>
  <c r="E490" i="2" s="1"/>
  <c r="F486" i="2"/>
  <c r="F485" i="2" s="1"/>
  <c r="E486" i="2"/>
  <c r="E485" i="2" s="1"/>
  <c r="F483" i="2"/>
  <c r="F482" i="2" s="1"/>
  <c r="E483" i="2"/>
  <c r="E482" i="2" s="1"/>
  <c r="F479" i="2"/>
  <c r="F478" i="2" s="1"/>
  <c r="E479" i="2"/>
  <c r="F473" i="2"/>
  <c r="F472" i="2" s="1"/>
  <c r="F471" i="2" s="1"/>
  <c r="E473" i="2"/>
  <c r="F469" i="2"/>
  <c r="F468" i="2" s="1"/>
  <c r="E469" i="2"/>
  <c r="F466" i="2"/>
  <c r="E466" i="2"/>
  <c r="F465" i="2"/>
  <c r="F464" i="2" s="1"/>
  <c r="E465" i="2"/>
  <c r="F461" i="2"/>
  <c r="F460" i="2" s="1"/>
  <c r="E461" i="2"/>
  <c r="F457" i="2"/>
  <c r="F456" i="2" s="1"/>
  <c r="E457" i="2"/>
  <c r="E456" i="2" s="1"/>
  <c r="F454" i="2"/>
  <c r="F453" i="2" s="1"/>
  <c r="E454" i="2"/>
  <c r="E453" i="2" s="1"/>
  <c r="F448" i="2"/>
  <c r="E448" i="2"/>
  <c r="E447" i="2" s="1"/>
  <c r="F445" i="2"/>
  <c r="E445" i="2"/>
  <c r="E444" i="2" s="1"/>
  <c r="F439" i="2"/>
  <c r="E439" i="2"/>
  <c r="F437" i="2"/>
  <c r="E437" i="2"/>
  <c r="F435" i="2"/>
  <c r="E435" i="2"/>
  <c r="F433" i="2"/>
  <c r="E433" i="2"/>
  <c r="E420" i="2"/>
  <c r="F417" i="2"/>
  <c r="E417" i="2"/>
  <c r="E416" i="2" s="1"/>
  <c r="F413" i="2"/>
  <c r="E413" i="2"/>
  <c r="E412" i="2" s="1"/>
  <c r="F411" i="2"/>
  <c r="E411" i="2"/>
  <c r="E410" i="2" s="1"/>
  <c r="E409" i="2" s="1"/>
  <c r="F405" i="2"/>
  <c r="F403" i="2"/>
  <c r="E403" i="2"/>
  <c r="F401" i="2"/>
  <c r="E401" i="2"/>
  <c r="F399" i="2"/>
  <c r="E399" i="2"/>
  <c r="F397" i="2"/>
  <c r="E397" i="2"/>
  <c r="F395" i="2"/>
  <c r="E395" i="2"/>
  <c r="F393" i="2"/>
  <c r="E393" i="2"/>
  <c r="F390" i="2"/>
  <c r="E390" i="2"/>
  <c r="F388" i="2"/>
  <c r="E388" i="2"/>
  <c r="F386" i="2"/>
  <c r="E386" i="2"/>
  <c r="E382" i="2"/>
  <c r="E368" i="2"/>
  <c r="F362" i="2"/>
  <c r="F361" i="2" s="1"/>
  <c r="F360" i="2" s="1"/>
  <c r="E362" i="2"/>
  <c r="F354" i="2"/>
  <c r="E354" i="2"/>
  <c r="F352" i="2"/>
  <c r="E352" i="2"/>
  <c r="F350" i="2"/>
  <c r="E350" i="2"/>
  <c r="F348" i="2"/>
  <c r="E348" i="2"/>
  <c r="F345" i="2"/>
  <c r="F344" i="2" s="1"/>
  <c r="E345" i="2"/>
  <c r="F339" i="2"/>
  <c r="F338" i="2" s="1"/>
  <c r="E339" i="2"/>
  <c r="F336" i="2"/>
  <c r="F335" i="2" s="1"/>
  <c r="E336" i="2"/>
  <c r="F333" i="2"/>
  <c r="E333" i="2"/>
  <c r="F331" i="2"/>
  <c r="E331" i="2"/>
  <c r="F326" i="2"/>
  <c r="E326" i="2"/>
  <c r="F320" i="2"/>
  <c r="E320" i="2"/>
  <c r="E319" i="2" s="1"/>
  <c r="F312" i="2"/>
  <c r="E312" i="2"/>
  <c r="F302" i="2"/>
  <c r="E302" i="2"/>
  <c r="F298" i="2"/>
  <c r="F297" i="2"/>
  <c r="F296" i="2" s="1"/>
  <c r="E297" i="2"/>
  <c r="F293" i="2"/>
  <c r="F292" i="2" s="1"/>
  <c r="E293" i="2"/>
  <c r="F288" i="2"/>
  <c r="F287" i="2" s="1"/>
  <c r="E288" i="2"/>
  <c r="E287" i="2" s="1"/>
  <c r="F280" i="2"/>
  <c r="E280" i="2"/>
  <c r="F278" i="2"/>
  <c r="E278" i="2"/>
  <c r="F276" i="2"/>
  <c r="E276" i="2"/>
  <c r="F275" i="2"/>
  <c r="E275" i="2"/>
  <c r="E272" i="2" s="1"/>
  <c r="F269" i="2"/>
  <c r="E269" i="2"/>
  <c r="F267" i="2"/>
  <c r="E267" i="2"/>
  <c r="F264" i="2"/>
  <c r="F263" i="2" s="1"/>
  <c r="E264" i="2"/>
  <c r="F259" i="2"/>
  <c r="E259" i="2"/>
  <c r="F254" i="2"/>
  <c r="E256" i="2"/>
  <c r="F252" i="2"/>
  <c r="E252" i="2"/>
  <c r="F251" i="2"/>
  <c r="E251" i="2"/>
  <c r="E250" i="2" s="1"/>
  <c r="F248" i="2"/>
  <c r="F247" i="2" s="1"/>
  <c r="E248" i="2"/>
  <c r="F245" i="2"/>
  <c r="E245" i="2"/>
  <c r="F242" i="2"/>
  <c r="E242" i="2"/>
  <c r="E241" i="2" s="1"/>
  <c r="F240" i="2"/>
  <c r="E240" i="2"/>
  <c r="F237" i="2"/>
  <c r="E237" i="2"/>
  <c r="E236" i="2" s="1"/>
  <c r="E235" i="2" s="1"/>
  <c r="F231" i="2"/>
  <c r="F230" i="2" s="1"/>
  <c r="E231" i="2"/>
  <c r="F227" i="2"/>
  <c r="F226" i="2" s="1"/>
  <c r="E227" i="2"/>
  <c r="F224" i="2"/>
  <c r="E224" i="2"/>
  <c r="F222" i="2"/>
  <c r="E222" i="2"/>
  <c r="F220" i="2"/>
  <c r="E220" i="2"/>
  <c r="F214" i="2"/>
  <c r="E214" i="2"/>
  <c r="F206" i="2"/>
  <c r="E206" i="2"/>
  <c r="F204" i="2"/>
  <c r="E204" i="2"/>
  <c r="F199" i="2"/>
  <c r="F198" i="2" s="1"/>
  <c r="E199" i="2"/>
  <c r="F196" i="2"/>
  <c r="E196" i="2"/>
  <c r="F188" i="2"/>
  <c r="F187" i="2" s="1"/>
  <c r="E188" i="2"/>
  <c r="F185" i="2"/>
  <c r="F182" i="2" s="1"/>
  <c r="E185" i="2"/>
  <c r="F177" i="2"/>
  <c r="F176" i="2" s="1"/>
  <c r="E177" i="2"/>
  <c r="F173" i="2"/>
  <c r="E173" i="2"/>
  <c r="F171" i="2"/>
  <c r="E171" i="2"/>
  <c r="F169" i="2"/>
  <c r="E169" i="2"/>
  <c r="F164" i="2"/>
  <c r="E164" i="2"/>
  <c r="F161" i="2"/>
  <c r="E161" i="2"/>
  <c r="F158" i="2"/>
  <c r="E158" i="2"/>
  <c r="F156" i="2"/>
  <c r="E156" i="2"/>
  <c r="F147" i="2"/>
  <c r="E147" i="2"/>
  <c r="F145" i="2"/>
  <c r="E145" i="2"/>
  <c r="F141" i="2"/>
  <c r="E141" i="2"/>
  <c r="F139" i="2"/>
  <c r="E139" i="2"/>
  <c r="F137" i="2"/>
  <c r="E137" i="2"/>
  <c r="F135" i="2"/>
  <c r="E135" i="2"/>
  <c r="F133" i="2"/>
  <c r="E133" i="2"/>
  <c r="F131" i="2"/>
  <c r="H131" i="2" s="1"/>
  <c r="F123" i="2"/>
  <c r="F120" i="2" s="1"/>
  <c r="E123" i="2"/>
  <c r="E120" i="2" s="1"/>
  <c r="F117" i="2"/>
  <c r="F113" i="2" s="1"/>
  <c r="E111" i="2"/>
  <c r="F105" i="2"/>
  <c r="E105" i="2"/>
  <c r="F103" i="2"/>
  <c r="E103" i="2"/>
  <c r="F101" i="2"/>
  <c r="E101" i="2"/>
  <c r="F99" i="2"/>
  <c r="E99" i="2"/>
  <c r="G98" i="2"/>
  <c r="F95" i="2"/>
  <c r="E95" i="2"/>
  <c r="F89" i="2"/>
  <c r="F88" i="2" s="1"/>
  <c r="E89" i="2"/>
  <c r="F86" i="2"/>
  <c r="E86" i="2"/>
  <c r="F84" i="2"/>
  <c r="E84" i="2"/>
  <c r="F79" i="2"/>
  <c r="F78" i="2" s="1"/>
  <c r="E79" i="2"/>
  <c r="E78" i="2" s="1"/>
  <c r="F76" i="2"/>
  <c r="E76" i="2"/>
  <c r="F74" i="2"/>
  <c r="E74" i="2"/>
  <c r="F72" i="2"/>
  <c r="E72" i="2"/>
  <c r="F69" i="2"/>
  <c r="E69" i="2"/>
  <c r="F67" i="2"/>
  <c r="E67" i="2"/>
  <c r="F63" i="2"/>
  <c r="F62" i="2" s="1"/>
  <c r="E63" i="2"/>
  <c r="F61" i="2"/>
  <c r="F60" i="2" s="1"/>
  <c r="E61" i="2"/>
  <c r="F55" i="2"/>
  <c r="H57" i="2"/>
  <c r="F52" i="2"/>
  <c r="E52" i="2"/>
  <c r="F50" i="2"/>
  <c r="E50" i="2"/>
  <c r="F48" i="2"/>
  <c r="E48" i="2"/>
  <c r="F45" i="2"/>
  <c r="E45" i="2"/>
  <c r="F42" i="2"/>
  <c r="E42" i="2"/>
  <c r="F40" i="2"/>
  <c r="E40" i="2"/>
  <c r="F37" i="2"/>
  <c r="E37" i="2"/>
  <c r="F34" i="2"/>
  <c r="E34" i="2"/>
  <c r="F30" i="2"/>
  <c r="E31" i="2"/>
  <c r="H31" i="2" s="1"/>
  <c r="F24" i="2"/>
  <c r="E24" i="2"/>
  <c r="E23" i="2" s="1"/>
  <c r="F19" i="2"/>
  <c r="E19" i="2"/>
  <c r="F17" i="2"/>
  <c r="E17" i="2"/>
  <c r="H13" i="2"/>
  <c r="G13" i="2"/>
  <c r="F13" i="2"/>
  <c r="E13" i="2"/>
  <c r="H190" i="2" l="1"/>
  <c r="E569" i="2"/>
  <c r="F33" i="2"/>
  <c r="H547" i="2"/>
  <c r="G552" i="2"/>
  <c r="H552" i="2"/>
  <c r="F540" i="2"/>
  <c r="F539" i="2" s="1"/>
  <c r="G24" i="16" s="1"/>
  <c r="E415" i="2"/>
  <c r="E347" i="2"/>
  <c r="F347" i="2"/>
  <c r="F343" i="2" s="1"/>
  <c r="G305" i="2"/>
  <c r="H305" i="2"/>
  <c r="F304" i="2"/>
  <c r="F168" i="2"/>
  <c r="F203" i="2"/>
  <c r="G24" i="2"/>
  <c r="F272" i="2"/>
  <c r="H272" i="2" s="1"/>
  <c r="E168" i="2"/>
  <c r="E203" i="2"/>
  <c r="G237" i="2"/>
  <c r="G242" i="2"/>
  <c r="E318" i="2"/>
  <c r="E317" i="2" s="1"/>
  <c r="H177" i="2"/>
  <c r="H199" i="2"/>
  <c r="H214" i="2"/>
  <c r="H220" i="2"/>
  <c r="H224" i="2"/>
  <c r="G411" i="2"/>
  <c r="G417" i="2"/>
  <c r="G430" i="2"/>
  <c r="G435" i="2"/>
  <c r="G439" i="2"/>
  <c r="G445" i="2"/>
  <c r="G579" i="2"/>
  <c r="H339" i="2"/>
  <c r="H348" i="2"/>
  <c r="H352" i="2"/>
  <c r="G586" i="2"/>
  <c r="G592" i="2"/>
  <c r="G600" i="2"/>
  <c r="G604" i="2"/>
  <c r="G608" i="2"/>
  <c r="G613" i="2"/>
  <c r="G618" i="2"/>
  <c r="H135" i="2"/>
  <c r="G101" i="2"/>
  <c r="G158" i="2"/>
  <c r="F295" i="2"/>
  <c r="H114" i="2"/>
  <c r="G111" i="2"/>
  <c r="H63" i="2"/>
  <c r="H156" i="2"/>
  <c r="H196" i="2"/>
  <c r="H267" i="2"/>
  <c r="H302" i="2"/>
  <c r="H465" i="2"/>
  <c r="H469" i="2"/>
  <c r="H497" i="2"/>
  <c r="F144" i="2"/>
  <c r="F143" i="2" s="1"/>
  <c r="F286" i="2"/>
  <c r="F501" i="2"/>
  <c r="H139" i="2"/>
  <c r="G211" i="2"/>
  <c r="G216" i="2"/>
  <c r="G222" i="2"/>
  <c r="H256" i="2"/>
  <c r="H276" i="2"/>
  <c r="H280" i="2"/>
  <c r="H312" i="2"/>
  <c r="H336" i="2"/>
  <c r="G84" i="2"/>
  <c r="F83" i="2"/>
  <c r="H145" i="2"/>
  <c r="H149" i="2"/>
  <c r="H333" i="2"/>
  <c r="H397" i="2"/>
  <c r="H401" i="2"/>
  <c r="H461" i="2"/>
  <c r="H523" i="2"/>
  <c r="F330" i="2"/>
  <c r="F329" i="2" s="1"/>
  <c r="G19" i="2"/>
  <c r="F66" i="2"/>
  <c r="F65" i="2" s="1"/>
  <c r="G130" i="2"/>
  <c r="G133" i="2"/>
  <c r="G137" i="2"/>
  <c r="G141" i="2"/>
  <c r="G105" i="2"/>
  <c r="H17" i="2"/>
  <c r="H78" i="2"/>
  <c r="H99" i="2"/>
  <c r="H103" i="2"/>
  <c r="H109" i="2"/>
  <c r="H118" i="2"/>
  <c r="H248" i="2"/>
  <c r="G314" i="2"/>
  <c r="E335" i="2"/>
  <c r="H335" i="2" s="1"/>
  <c r="E338" i="2"/>
  <c r="H338" i="2" s="1"/>
  <c r="H473" i="2"/>
  <c r="H502" i="2"/>
  <c r="H506" i="2"/>
  <c r="H513" i="2"/>
  <c r="H519" i="2"/>
  <c r="H541" i="2"/>
  <c r="H558" i="2"/>
  <c r="H565" i="2"/>
  <c r="F459" i="2"/>
  <c r="G421" i="2"/>
  <c r="G433" i="2"/>
  <c r="G437" i="2"/>
  <c r="G448" i="2"/>
  <c r="G577" i="2"/>
  <c r="H581" i="2"/>
  <c r="G589" i="2"/>
  <c r="G594" i="2"/>
  <c r="G614" i="2"/>
  <c r="G147" i="2"/>
  <c r="E247" i="2"/>
  <c r="G247" i="2" s="1"/>
  <c r="G383" i="2"/>
  <c r="G388" i="2"/>
  <c r="G583" i="2"/>
  <c r="F526" i="2"/>
  <c r="G23" i="16"/>
  <c r="E429" i="2"/>
  <c r="F481" i="2"/>
  <c r="H37" i="2"/>
  <c r="H48" i="2"/>
  <c r="H52" i="2"/>
  <c r="H61" i="2"/>
  <c r="E155" i="2"/>
  <c r="H171" i="2"/>
  <c r="H185" i="2"/>
  <c r="H188" i="2"/>
  <c r="H204" i="2"/>
  <c r="H206" i="2"/>
  <c r="H231" i="2"/>
  <c r="H259" i="2"/>
  <c r="H264" i="2"/>
  <c r="H269" i="2"/>
  <c r="H275" i="2"/>
  <c r="H278" i="2"/>
  <c r="H288" i="2"/>
  <c r="H293" i="2"/>
  <c r="H297" i="2"/>
  <c r="H299" i="2"/>
  <c r="E311" i="2"/>
  <c r="E310" i="2" s="1"/>
  <c r="H324" i="2"/>
  <c r="H331" i="2"/>
  <c r="H345" i="2"/>
  <c r="H350" i="2"/>
  <c r="H354" i="2"/>
  <c r="H373" i="2"/>
  <c r="H393" i="2"/>
  <c r="F23" i="2"/>
  <c r="H23" i="2" s="1"/>
  <c r="G40" i="2"/>
  <c r="G50" i="2"/>
  <c r="H69" i="2"/>
  <c r="H74" i="2"/>
  <c r="H89" i="2"/>
  <c r="F97" i="2"/>
  <c r="F94" i="2" s="1"/>
  <c r="H164" i="2"/>
  <c r="G169" i="2"/>
  <c r="G173" i="2"/>
  <c r="G245" i="2"/>
  <c r="H252" i="2"/>
  <c r="G320" i="2"/>
  <c r="G326" i="2"/>
  <c r="H362" i="2"/>
  <c r="G369" i="2"/>
  <c r="G376" i="2"/>
  <c r="H482" i="2"/>
  <c r="H485" i="2"/>
  <c r="H490" i="2"/>
  <c r="H527" i="2"/>
  <c r="F392" i="2"/>
  <c r="H42" i="2"/>
  <c r="H123" i="2"/>
  <c r="G67" i="2"/>
  <c r="G72" i="2"/>
  <c r="G79" i="2"/>
  <c r="G95" i="2"/>
  <c r="E128" i="2"/>
  <c r="E127" i="2" s="1"/>
  <c r="G161" i="2"/>
  <c r="E187" i="2"/>
  <c r="G187" i="2" s="1"/>
  <c r="G240" i="2"/>
  <c r="G251" i="2"/>
  <c r="E263" i="2"/>
  <c r="H263" i="2" s="1"/>
  <c r="E296" i="2"/>
  <c r="H296" i="2" s="1"/>
  <c r="E298" i="2"/>
  <c r="H298" i="2" s="1"/>
  <c r="H386" i="2"/>
  <c r="H390" i="2"/>
  <c r="H395" i="2"/>
  <c r="H399" i="2"/>
  <c r="H403" i="2"/>
  <c r="F416" i="2"/>
  <c r="H454" i="2"/>
  <c r="H457" i="2"/>
  <c r="E460" i="2"/>
  <c r="H460" i="2" s="1"/>
  <c r="E464" i="2"/>
  <c r="H464" i="2" s="1"/>
  <c r="H466" i="2"/>
  <c r="E472" i="2"/>
  <c r="H472" i="2" s="1"/>
  <c r="H479" i="2"/>
  <c r="H483" i="2"/>
  <c r="H486" i="2"/>
  <c r="H491" i="2"/>
  <c r="E501" i="2"/>
  <c r="H504" i="2"/>
  <c r="H508" i="2"/>
  <c r="H517" i="2"/>
  <c r="E522" i="2"/>
  <c r="H522" i="2" s="1"/>
  <c r="F23" i="16"/>
  <c r="H528" i="2"/>
  <c r="H544" i="2"/>
  <c r="H562" i="2"/>
  <c r="H567" i="2"/>
  <c r="H572" i="2"/>
  <c r="G596" i="2"/>
  <c r="G413" i="2"/>
  <c r="F420" i="2"/>
  <c r="G420" i="2" s="1"/>
  <c r="G442" i="2"/>
  <c r="F447" i="2"/>
  <c r="G447" i="2" s="1"/>
  <c r="F512" i="2"/>
  <c r="G582" i="2"/>
  <c r="G599" i="2"/>
  <c r="G602" i="2"/>
  <c r="G606" i="2"/>
  <c r="G610" i="2"/>
  <c r="H86" i="2"/>
  <c r="G76" i="2"/>
  <c r="E66" i="2"/>
  <c r="G34" i="2"/>
  <c r="G45" i="2"/>
  <c r="F359" i="2"/>
  <c r="F477" i="2"/>
  <c r="F561" i="2"/>
  <c r="F291" i="2"/>
  <c r="E446" i="2"/>
  <c r="F59" i="2"/>
  <c r="F495" i="2"/>
  <c r="F186" i="2"/>
  <c r="G259" i="2"/>
  <c r="G264" i="2"/>
  <c r="G267" i="2"/>
  <c r="G275" i="2"/>
  <c r="G278" i="2"/>
  <c r="G297" i="2"/>
  <c r="G299" i="2"/>
  <c r="H314" i="2"/>
  <c r="H320" i="2"/>
  <c r="H326" i="2"/>
  <c r="G336" i="2"/>
  <c r="G339" i="2"/>
  <c r="G350" i="2"/>
  <c r="G354" i="2"/>
  <c r="E361" i="2"/>
  <c r="E367" i="2"/>
  <c r="H369" i="2"/>
  <c r="H376" i="2"/>
  <c r="H383" i="2"/>
  <c r="H388" i="2"/>
  <c r="G395" i="2"/>
  <c r="G399" i="2"/>
  <c r="G403" i="2"/>
  <c r="H411" i="2"/>
  <c r="H413" i="2"/>
  <c r="H430" i="2"/>
  <c r="H435" i="2"/>
  <c r="H439" i="2"/>
  <c r="H442" i="2"/>
  <c r="H445" i="2"/>
  <c r="G454" i="2"/>
  <c r="G457" i="2"/>
  <c r="G461" i="2"/>
  <c r="G465" i="2"/>
  <c r="G473" i="2"/>
  <c r="G483" i="2"/>
  <c r="G486" i="2"/>
  <c r="G491" i="2"/>
  <c r="G502" i="2"/>
  <c r="G506" i="2"/>
  <c r="G519" i="2"/>
  <c r="G523" i="2"/>
  <c r="G528" i="2"/>
  <c r="G567" i="2"/>
  <c r="G572" i="2"/>
  <c r="H577" i="2"/>
  <c r="H583" i="2"/>
  <c r="H586" i="2"/>
  <c r="H592" i="2"/>
  <c r="H596" i="2"/>
  <c r="H599" i="2"/>
  <c r="H602" i="2"/>
  <c r="H606" i="2"/>
  <c r="H610" i="2"/>
  <c r="H613" i="2"/>
  <c r="H618" i="2"/>
  <c r="H570" i="2"/>
  <c r="E97" i="2"/>
  <c r="E94" i="2" s="1"/>
  <c r="H98" i="2"/>
  <c r="E160" i="2"/>
  <c r="H161" i="2"/>
  <c r="E239" i="2"/>
  <c r="H240" i="2"/>
  <c r="F311" i="2"/>
  <c r="G312" i="2"/>
  <c r="F574" i="2"/>
  <c r="H574" i="2" s="1"/>
  <c r="G575" i="2"/>
  <c r="F155" i="2"/>
  <c r="G581" i="2"/>
  <c r="E16" i="2"/>
  <c r="H95" i="2"/>
  <c r="H158" i="2"/>
  <c r="H211" i="2"/>
  <c r="H216" i="2"/>
  <c r="H222" i="2"/>
  <c r="H245" i="2"/>
  <c r="F10" i="2"/>
  <c r="F11" i="2"/>
  <c r="H19" i="2"/>
  <c r="H24" i="2"/>
  <c r="E30" i="2"/>
  <c r="H30" i="2" s="1"/>
  <c r="H34" i="2"/>
  <c r="H40" i="2"/>
  <c r="H45" i="2"/>
  <c r="H50" i="2"/>
  <c r="E55" i="2"/>
  <c r="G55" i="2" s="1"/>
  <c r="E60" i="2"/>
  <c r="E62" i="2"/>
  <c r="H62" i="2" s="1"/>
  <c r="H67" i="2"/>
  <c r="H72" i="2"/>
  <c r="H76" i="2"/>
  <c r="H79" i="2"/>
  <c r="H84" i="2"/>
  <c r="E88" i="2"/>
  <c r="G88" i="2" s="1"/>
  <c r="H101" i="2"/>
  <c r="H105" i="2"/>
  <c r="H111" i="2"/>
  <c r="E117" i="2"/>
  <c r="G117" i="2" s="1"/>
  <c r="H120" i="2"/>
  <c r="H130" i="2"/>
  <c r="H133" i="2"/>
  <c r="H137" i="2"/>
  <c r="H141" i="2"/>
  <c r="E144" i="2"/>
  <c r="H147" i="2"/>
  <c r="G156" i="2"/>
  <c r="H169" i="2"/>
  <c r="H173" i="2"/>
  <c r="E176" i="2"/>
  <c r="G176" i="2" s="1"/>
  <c r="E182" i="2"/>
  <c r="G188" i="2"/>
  <c r="E198" i="2"/>
  <c r="H198" i="2" s="1"/>
  <c r="F210" i="2"/>
  <c r="G214" i="2"/>
  <c r="G220" i="2"/>
  <c r="G224" i="2"/>
  <c r="E230" i="2"/>
  <c r="H230" i="2" s="1"/>
  <c r="H237" i="2"/>
  <c r="H242" i="2"/>
  <c r="F244" i="2"/>
  <c r="F246" i="2"/>
  <c r="G248" i="2"/>
  <c r="H251" i="2"/>
  <c r="E254" i="2"/>
  <c r="H254" i="2" s="1"/>
  <c r="E271" i="2"/>
  <c r="E292" i="2"/>
  <c r="G292" i="2" s="1"/>
  <c r="F319" i="2"/>
  <c r="H319" i="2" s="1"/>
  <c r="G324" i="2"/>
  <c r="E330" i="2"/>
  <c r="E344" i="2"/>
  <c r="G362" i="2"/>
  <c r="F368" i="2"/>
  <c r="G368" i="2" s="1"/>
  <c r="G373" i="2"/>
  <c r="H379" i="2"/>
  <c r="F382" i="2"/>
  <c r="G382" i="2" s="1"/>
  <c r="G386" i="2"/>
  <c r="G390" i="2"/>
  <c r="G406" i="2"/>
  <c r="F410" i="2"/>
  <c r="H410" i="2" s="1"/>
  <c r="F412" i="2"/>
  <c r="G412" i="2" s="1"/>
  <c r="G441" i="2"/>
  <c r="F444" i="2"/>
  <c r="G444" i="2" s="1"/>
  <c r="E468" i="2"/>
  <c r="H468" i="2" s="1"/>
  <c r="E478" i="2"/>
  <c r="E481" i="2"/>
  <c r="E489" i="2"/>
  <c r="G489" i="2" s="1"/>
  <c r="E496" i="2"/>
  <c r="H515" i="2"/>
  <c r="E526" i="2"/>
  <c r="E543" i="2"/>
  <c r="H543" i="2" s="1"/>
  <c r="E557" i="2"/>
  <c r="H557" i="2" s="1"/>
  <c r="E564" i="2"/>
  <c r="H564" i="2" s="1"/>
  <c r="F585" i="2"/>
  <c r="G585" i="2" s="1"/>
  <c r="F598" i="2"/>
  <c r="G598" i="2" s="1"/>
  <c r="F612" i="2"/>
  <c r="G612" i="2" s="1"/>
  <c r="E226" i="2"/>
  <c r="H227" i="2"/>
  <c r="F16" i="2"/>
  <c r="G17" i="2"/>
  <c r="F195" i="2"/>
  <c r="G196" i="2"/>
  <c r="E405" i="2"/>
  <c r="G405" i="2" s="1"/>
  <c r="H406" i="2"/>
  <c r="E11" i="2"/>
  <c r="G31" i="2"/>
  <c r="G37" i="2"/>
  <c r="G42" i="2"/>
  <c r="G48" i="2"/>
  <c r="G52" i="2"/>
  <c r="G57" i="2"/>
  <c r="G61" i="2"/>
  <c r="G63" i="2"/>
  <c r="G69" i="2"/>
  <c r="G74" i="2"/>
  <c r="G78" i="2"/>
  <c r="G86" i="2"/>
  <c r="G89" i="2"/>
  <c r="G99" i="2"/>
  <c r="G103" i="2"/>
  <c r="G118" i="2"/>
  <c r="G123" i="2"/>
  <c r="F128" i="2"/>
  <c r="G131" i="2"/>
  <c r="G135" i="2"/>
  <c r="G139" i="2"/>
  <c r="G145" i="2"/>
  <c r="G149" i="2"/>
  <c r="F160" i="2"/>
  <c r="G164" i="2"/>
  <c r="G171" i="2"/>
  <c r="F175" i="2"/>
  <c r="G177" i="2"/>
  <c r="F181" i="2"/>
  <c r="G185" i="2"/>
  <c r="G199" i="2"/>
  <c r="G204" i="2"/>
  <c r="G206" i="2"/>
  <c r="G227" i="2"/>
  <c r="G231" i="2"/>
  <c r="F236" i="2"/>
  <c r="H236" i="2" s="1"/>
  <c r="F239" i="2"/>
  <c r="F241" i="2"/>
  <c r="G241" i="2" s="1"/>
  <c r="E244" i="2"/>
  <c r="E246" i="2"/>
  <c r="F250" i="2"/>
  <c r="H250" i="2" s="1"/>
  <c r="G252" i="2"/>
  <c r="G256" i="2"/>
  <c r="G269" i="2"/>
  <c r="G276" i="2"/>
  <c r="G280" i="2"/>
  <c r="G288" i="2"/>
  <c r="G293" i="2"/>
  <c r="G302" i="2"/>
  <c r="G331" i="2"/>
  <c r="G345" i="2"/>
  <c r="G348" i="2"/>
  <c r="G393" i="2"/>
  <c r="G397" i="2"/>
  <c r="G401" i="2"/>
  <c r="H417" i="2"/>
  <c r="H421" i="2"/>
  <c r="H433" i="2"/>
  <c r="H437" i="2"/>
  <c r="H448" i="2"/>
  <c r="G466" i="2"/>
  <c r="G469" i="2"/>
  <c r="G479" i="2"/>
  <c r="G482" i="2"/>
  <c r="G485" i="2"/>
  <c r="G490" i="2"/>
  <c r="G497" i="2"/>
  <c r="G504" i="2"/>
  <c r="G508" i="2"/>
  <c r="G513" i="2"/>
  <c r="G517" i="2"/>
  <c r="G527" i="2"/>
  <c r="G541" i="2"/>
  <c r="G544" i="2"/>
  <c r="G558" i="2"/>
  <c r="G562" i="2"/>
  <c r="G565" i="2"/>
  <c r="G570" i="2"/>
  <c r="H575" i="2"/>
  <c r="H579" i="2"/>
  <c r="H582" i="2"/>
  <c r="H589" i="2"/>
  <c r="H594" i="2"/>
  <c r="H600" i="2"/>
  <c r="H604" i="2"/>
  <c r="H608" i="2"/>
  <c r="H614" i="2"/>
  <c r="G25" i="2"/>
  <c r="H25" i="2"/>
  <c r="F30" i="23"/>
  <c r="E30" i="23"/>
  <c r="F29" i="23"/>
  <c r="E29" i="23"/>
  <c r="F28" i="23"/>
  <c r="E28" i="23"/>
  <c r="D27" i="23"/>
  <c r="C27" i="23"/>
  <c r="D26" i="23"/>
  <c r="D25" i="23" s="1"/>
  <c r="C26" i="23"/>
  <c r="C25" i="23" s="1"/>
  <c r="F15" i="23"/>
  <c r="E15" i="23"/>
  <c r="D14" i="23"/>
  <c r="D13" i="23" s="1"/>
  <c r="C14" i="23"/>
  <c r="E15" i="22"/>
  <c r="E14" i="22"/>
  <c r="E13" i="22"/>
  <c r="E12" i="22"/>
  <c r="E11" i="22"/>
  <c r="L15" i="21"/>
  <c r="G29" i="18"/>
  <c r="G26" i="18"/>
  <c r="G24" i="18"/>
  <c r="G23" i="18"/>
  <c r="G19" i="18"/>
  <c r="G18" i="18"/>
  <c r="G12" i="18"/>
  <c r="E25" i="16"/>
  <c r="D25" i="16"/>
  <c r="C25" i="16"/>
  <c r="B22" i="16"/>
  <c r="C12" i="13"/>
  <c r="E14" i="12"/>
  <c r="C13" i="12"/>
  <c r="C12" i="12" s="1"/>
  <c r="C11" i="12" s="1"/>
  <c r="D51" i="11"/>
  <c r="C51" i="11"/>
  <c r="E50" i="11"/>
  <c r="D49" i="11"/>
  <c r="C49" i="11"/>
  <c r="E48" i="11"/>
  <c r="D47" i="11"/>
  <c r="C47" i="11"/>
  <c r="E46" i="11"/>
  <c r="E45" i="11"/>
  <c r="E44" i="11"/>
  <c r="E43" i="11"/>
  <c r="D42" i="11"/>
  <c r="C42" i="11"/>
  <c r="E41" i="11"/>
  <c r="E40" i="11"/>
  <c r="D39" i="11"/>
  <c r="C39" i="11"/>
  <c r="E38" i="11"/>
  <c r="E37" i="11"/>
  <c r="E36" i="11"/>
  <c r="E35" i="11"/>
  <c r="E34" i="11"/>
  <c r="D33" i="11"/>
  <c r="C33" i="11"/>
  <c r="E32" i="11"/>
  <c r="D31" i="11"/>
  <c r="C31" i="11"/>
  <c r="E30" i="11"/>
  <c r="E29" i="11"/>
  <c r="E28" i="11"/>
  <c r="D27" i="11"/>
  <c r="C27" i="11"/>
  <c r="E26" i="11"/>
  <c r="E25" i="11"/>
  <c r="E24" i="11"/>
  <c r="E23" i="11"/>
  <c r="D22" i="11"/>
  <c r="C22" i="11"/>
  <c r="E21" i="11"/>
  <c r="E20" i="11"/>
  <c r="E19" i="11"/>
  <c r="D18" i="11"/>
  <c r="C18" i="11"/>
  <c r="E17" i="11"/>
  <c r="C16" i="11"/>
  <c r="E15" i="11"/>
  <c r="D14" i="11"/>
  <c r="E14" i="11" s="1"/>
  <c r="E13" i="11"/>
  <c r="E12" i="11"/>
  <c r="E11" i="11"/>
  <c r="E10" i="11"/>
  <c r="E9" i="11"/>
  <c r="H820" i="1"/>
  <c r="H794" i="1"/>
  <c r="G827" i="1"/>
  <c r="G826" i="1" s="1"/>
  <c r="H827" i="1"/>
  <c r="I828" i="1"/>
  <c r="I829" i="1"/>
  <c r="I822" i="1"/>
  <c r="I821" i="1"/>
  <c r="I811" i="1"/>
  <c r="I801" i="1"/>
  <c r="I800" i="1"/>
  <c r="H802" i="1"/>
  <c r="H799" i="1" s="1"/>
  <c r="I774" i="1"/>
  <c r="I773" i="1"/>
  <c r="H772" i="1"/>
  <c r="G772" i="1"/>
  <c r="F772" i="1"/>
  <c r="F771" i="1" s="1"/>
  <c r="H771" i="1"/>
  <c r="H743" i="1"/>
  <c r="H742" i="1" s="1"/>
  <c r="H741" i="1" s="1"/>
  <c r="H740" i="1" s="1"/>
  <c r="H739" i="1" s="1"/>
  <c r="H738" i="1" s="1"/>
  <c r="H737" i="1" s="1"/>
  <c r="G743" i="1"/>
  <c r="G742" i="1" s="1"/>
  <c r="G741" i="1" s="1"/>
  <c r="G740" i="1" s="1"/>
  <c r="G739" i="1" s="1"/>
  <c r="G738" i="1" s="1"/>
  <c r="G737" i="1" s="1"/>
  <c r="H726" i="1"/>
  <c r="I735" i="1"/>
  <c r="I734" i="1"/>
  <c r="H733" i="1"/>
  <c r="H732" i="1" s="1"/>
  <c r="H731" i="1" s="1"/>
  <c r="G733" i="1"/>
  <c r="G732" i="1" s="1"/>
  <c r="G731" i="1" s="1"/>
  <c r="F733" i="1"/>
  <c r="F732" i="1" s="1"/>
  <c r="F731" i="1" s="1"/>
  <c r="G726" i="1"/>
  <c r="I727" i="1"/>
  <c r="I683" i="1"/>
  <c r="I682" i="1"/>
  <c r="H681" i="1"/>
  <c r="G681" i="1"/>
  <c r="G680" i="1" s="1"/>
  <c r="F681" i="1"/>
  <c r="F680" i="1" s="1"/>
  <c r="I681" i="1" l="1"/>
  <c r="I772" i="1"/>
  <c r="C52" i="11"/>
  <c r="C13" i="23"/>
  <c r="C12" i="23" s="1"/>
  <c r="G771" i="1"/>
  <c r="I771" i="1" s="1"/>
  <c r="F13" i="18"/>
  <c r="F14" i="18" s="1"/>
  <c r="E43" i="23"/>
  <c r="E186" i="2"/>
  <c r="F42" i="23"/>
  <c r="F44" i="23"/>
  <c r="E42" i="23"/>
  <c r="E26" i="23"/>
  <c r="F26" i="23"/>
  <c r="F14" i="23"/>
  <c r="F43" i="23"/>
  <c r="E44" i="23"/>
  <c r="E14" i="23"/>
  <c r="F569" i="2"/>
  <c r="E16" i="22"/>
  <c r="E51" i="11"/>
  <c r="E47" i="11"/>
  <c r="E18" i="11"/>
  <c r="E42" i="11"/>
  <c r="E39" i="11"/>
  <c r="E31" i="11"/>
  <c r="E27" i="11"/>
  <c r="E49" i="11"/>
  <c r="E33" i="11"/>
  <c r="E22" i="11"/>
  <c r="H247" i="2"/>
  <c r="E540" i="2"/>
  <c r="H540" i="2" s="1"/>
  <c r="G335" i="2"/>
  <c r="G272" i="2"/>
  <c r="G472" i="2"/>
  <c r="E471" i="2"/>
  <c r="H471" i="2" s="1"/>
  <c r="G416" i="2"/>
  <c r="F415" i="2"/>
  <c r="G415" i="2" s="1"/>
  <c r="F294" i="2"/>
  <c r="G16" i="16" s="1"/>
  <c r="G460" i="2"/>
  <c r="G263" i="2"/>
  <c r="F194" i="2"/>
  <c r="G13" i="16" s="1"/>
  <c r="G304" i="2"/>
  <c r="H304" i="2"/>
  <c r="E10" i="2"/>
  <c r="H447" i="2"/>
  <c r="H525" i="2"/>
  <c r="G23" i="2"/>
  <c r="F271" i="2"/>
  <c r="F266" i="2" s="1"/>
  <c r="F22" i="2"/>
  <c r="F21" i="2" s="1"/>
  <c r="G456" i="2"/>
  <c r="G338" i="2"/>
  <c r="F500" i="2"/>
  <c r="G22" i="16" s="1"/>
  <c r="G481" i="2"/>
  <c r="H501" i="2"/>
  <c r="H155" i="2"/>
  <c r="F446" i="2"/>
  <c r="H446" i="2" s="1"/>
  <c r="H456" i="2"/>
  <c r="E113" i="2"/>
  <c r="H113" i="2" s="1"/>
  <c r="H368" i="2"/>
  <c r="H187" i="2"/>
  <c r="H66" i="2"/>
  <c r="G464" i="2"/>
  <c r="E428" i="2"/>
  <c r="E83" i="2"/>
  <c r="H83" i="2" s="1"/>
  <c r="H612" i="2"/>
  <c r="G525" i="2"/>
  <c r="H203" i="2"/>
  <c r="H97" i="2"/>
  <c r="H441" i="2"/>
  <c r="G330" i="2"/>
  <c r="G198" i="2"/>
  <c r="G526" i="2"/>
  <c r="H246" i="2"/>
  <c r="G62" i="2"/>
  <c r="F452" i="2"/>
  <c r="F451" i="2" s="1"/>
  <c r="G20" i="16" s="1"/>
  <c r="E249" i="2"/>
  <c r="H420" i="2"/>
  <c r="H94" i="2"/>
  <c r="H598" i="2"/>
  <c r="G501" i="2"/>
  <c r="H412" i="2"/>
  <c r="G296" i="2"/>
  <c r="G97" i="2"/>
  <c r="H311" i="2"/>
  <c r="F429" i="2"/>
  <c r="H429" i="2" s="1"/>
  <c r="E295" i="2"/>
  <c r="H585" i="2"/>
  <c r="G522" i="2"/>
  <c r="G298" i="2"/>
  <c r="H526" i="2"/>
  <c r="H481" i="2"/>
  <c r="E459" i="2"/>
  <c r="H347" i="2"/>
  <c r="G186" i="2"/>
  <c r="G543" i="2"/>
  <c r="H416" i="2"/>
  <c r="G66" i="2"/>
  <c r="E65" i="2"/>
  <c r="G10" i="2"/>
  <c r="F15" i="2"/>
  <c r="G16" i="2"/>
  <c r="E210" i="2"/>
  <c r="G210" i="2" s="1"/>
  <c r="H226" i="2"/>
  <c r="H478" i="2"/>
  <c r="E477" i="2"/>
  <c r="H477" i="2" s="1"/>
  <c r="H453" i="2"/>
  <c r="G155" i="2"/>
  <c r="F154" i="2"/>
  <c r="H361" i="2"/>
  <c r="E360" i="2"/>
  <c r="H244" i="2"/>
  <c r="E243" i="2"/>
  <c r="G379" i="2"/>
  <c r="F367" i="2"/>
  <c r="H367" i="2" s="1"/>
  <c r="G319" i="2"/>
  <c r="F318" i="2"/>
  <c r="H55" i="2"/>
  <c r="H10" i="2" s="1"/>
  <c r="E33" i="2"/>
  <c r="G33" i="2" s="1"/>
  <c r="H16" i="2"/>
  <c r="E15" i="2"/>
  <c r="H569" i="2"/>
  <c r="G574" i="2"/>
  <c r="E238" i="2"/>
  <c r="H239" i="2"/>
  <c r="G226" i="2"/>
  <c r="E12" i="2"/>
  <c r="H444" i="2"/>
  <c r="H382" i="2"/>
  <c r="G160" i="2"/>
  <c r="H241" i="2"/>
  <c r="E512" i="2"/>
  <c r="H186" i="2"/>
  <c r="H11" i="2"/>
  <c r="G230" i="2"/>
  <c r="E195" i="2"/>
  <c r="E194" i="2" s="1"/>
  <c r="F13" i="16" s="1"/>
  <c r="G254" i="2"/>
  <c r="G557" i="2"/>
  <c r="G468" i="2"/>
  <c r="G30" i="2"/>
  <c r="G515" i="2"/>
  <c r="G347" i="2"/>
  <c r="E392" i="2"/>
  <c r="H405" i="2"/>
  <c r="H344" i="2"/>
  <c r="E343" i="2"/>
  <c r="H343" i="2" s="1"/>
  <c r="H182" i="2"/>
  <c r="E181" i="2"/>
  <c r="G181" i="2" s="1"/>
  <c r="F58" i="2"/>
  <c r="F328" i="2"/>
  <c r="G18" i="16" s="1"/>
  <c r="G236" i="2"/>
  <c r="F235" i="2"/>
  <c r="G128" i="2"/>
  <c r="F127" i="2"/>
  <c r="G127" i="2" s="1"/>
  <c r="E309" i="2"/>
  <c r="F17" i="16" s="1"/>
  <c r="H489" i="2"/>
  <c r="G410" i="2"/>
  <c r="F409" i="2"/>
  <c r="F243" i="2"/>
  <c r="G244" i="2"/>
  <c r="H144" i="2"/>
  <c r="E143" i="2"/>
  <c r="H143" i="2" s="1"/>
  <c r="H88" i="2"/>
  <c r="H60" i="2"/>
  <c r="E59" i="2"/>
  <c r="G59" i="2" s="1"/>
  <c r="F82" i="2"/>
  <c r="G478" i="2"/>
  <c r="E22" i="2"/>
  <c r="G564" i="2"/>
  <c r="F488" i="2"/>
  <c r="G21" i="16" s="1"/>
  <c r="F12" i="2"/>
  <c r="G344" i="2"/>
  <c r="G120" i="2"/>
  <c r="F249" i="2"/>
  <c r="G250" i="2"/>
  <c r="G239" i="2"/>
  <c r="F238" i="2"/>
  <c r="F180" i="2"/>
  <c r="F167" i="2" s="1"/>
  <c r="G168" i="2"/>
  <c r="H496" i="2"/>
  <c r="E495" i="2"/>
  <c r="H495" i="2" s="1"/>
  <c r="H330" i="2"/>
  <c r="E329" i="2"/>
  <c r="H292" i="2"/>
  <c r="E291" i="2"/>
  <c r="G291" i="2" s="1"/>
  <c r="E266" i="2"/>
  <c r="F209" i="2"/>
  <c r="G14" i="16" s="1"/>
  <c r="H176" i="2"/>
  <c r="E175" i="2"/>
  <c r="G175" i="2" s="1"/>
  <c r="H117" i="2"/>
  <c r="F310" i="2"/>
  <c r="H310" i="2" s="1"/>
  <c r="G311" i="2"/>
  <c r="E154" i="2"/>
  <c r="H160" i="2"/>
  <c r="F290" i="2"/>
  <c r="F32" i="2"/>
  <c r="G11" i="2"/>
  <c r="G361" i="2"/>
  <c r="H168" i="2"/>
  <c r="E561" i="2"/>
  <c r="H561" i="2" s="1"/>
  <c r="G246" i="2"/>
  <c r="G203" i="2"/>
  <c r="G182" i="2"/>
  <c r="G144" i="2"/>
  <c r="H128" i="2"/>
  <c r="G496" i="2"/>
  <c r="G453" i="2"/>
  <c r="G60" i="2"/>
  <c r="E25" i="23"/>
  <c r="D13" i="12"/>
  <c r="D16" i="11"/>
  <c r="D52" i="11" s="1"/>
  <c r="I827" i="1"/>
  <c r="H826" i="1"/>
  <c r="I826" i="1" s="1"/>
  <c r="I733" i="1"/>
  <c r="I731" i="1"/>
  <c r="I732" i="1"/>
  <c r="H680" i="1"/>
  <c r="I680" i="1" s="1"/>
  <c r="F13" i="23" l="1"/>
  <c r="D12" i="23"/>
  <c r="F12" i="23" s="1"/>
  <c r="E13" i="23"/>
  <c r="H266" i="2"/>
  <c r="G471" i="2"/>
  <c r="H271" i="2"/>
  <c r="H295" i="2"/>
  <c r="E294" i="2"/>
  <c r="F16" i="16" s="1"/>
  <c r="G446" i="2"/>
  <c r="F234" i="2"/>
  <c r="G195" i="2"/>
  <c r="G271" i="2"/>
  <c r="E234" i="2"/>
  <c r="F64" i="2"/>
  <c r="G12" i="16" s="1"/>
  <c r="H15" i="2"/>
  <c r="G83" i="2"/>
  <c r="H65" i="2"/>
  <c r="G540" i="2"/>
  <c r="E539" i="2"/>
  <c r="G143" i="2"/>
  <c r="E488" i="2"/>
  <c r="H12" i="2"/>
  <c r="H243" i="2"/>
  <c r="G94" i="2"/>
  <c r="G238" i="2"/>
  <c r="G65" i="2"/>
  <c r="G249" i="2"/>
  <c r="H415" i="2"/>
  <c r="H127" i="2"/>
  <c r="H459" i="2"/>
  <c r="G459" i="2"/>
  <c r="G429" i="2"/>
  <c r="G295" i="2"/>
  <c r="E452" i="2"/>
  <c r="G452" i="2" s="1"/>
  <c r="H154" i="2"/>
  <c r="G12" i="2"/>
  <c r="G343" i="2"/>
  <c r="F428" i="2"/>
  <c r="G113" i="2"/>
  <c r="E82" i="2"/>
  <c r="H82" i="2" s="1"/>
  <c r="G409" i="2"/>
  <c r="H409" i="2"/>
  <c r="H512" i="2"/>
  <c r="G512" i="2"/>
  <c r="E500" i="2"/>
  <c r="F22" i="16" s="1"/>
  <c r="G318" i="2"/>
  <c r="F317" i="2"/>
  <c r="H318" i="2"/>
  <c r="G154" i="2"/>
  <c r="H238" i="2"/>
  <c r="E209" i="2"/>
  <c r="H210" i="2"/>
  <c r="G235" i="2"/>
  <c r="H235" i="2"/>
  <c r="H181" i="2"/>
  <c r="E180" i="2"/>
  <c r="H180" i="2" s="1"/>
  <c r="H291" i="2"/>
  <c r="E290" i="2"/>
  <c r="H290" i="2" s="1"/>
  <c r="E366" i="2"/>
  <c r="H392" i="2"/>
  <c r="G392" i="2"/>
  <c r="H287" i="2"/>
  <c r="E286" i="2"/>
  <c r="G287" i="2"/>
  <c r="G569" i="2"/>
  <c r="F560" i="2"/>
  <c r="G15" i="2"/>
  <c r="F14" i="2"/>
  <c r="G11" i="16" s="1"/>
  <c r="G561" i="2"/>
  <c r="G495" i="2"/>
  <c r="G243" i="2"/>
  <c r="H249" i="2"/>
  <c r="H175" i="2"/>
  <c r="E328" i="2"/>
  <c r="H329" i="2"/>
  <c r="H22" i="2"/>
  <c r="G22" i="2"/>
  <c r="E21" i="2"/>
  <c r="G310" i="2"/>
  <c r="H59" i="2"/>
  <c r="E58" i="2"/>
  <c r="H58" i="2" s="1"/>
  <c r="H195" i="2"/>
  <c r="H33" i="2"/>
  <c r="E32" i="2"/>
  <c r="H32" i="2" s="1"/>
  <c r="F366" i="2"/>
  <c r="G367" i="2"/>
  <c r="H360" i="2"/>
  <c r="E359" i="2"/>
  <c r="G360" i="2"/>
  <c r="G266" i="2"/>
  <c r="E560" i="2"/>
  <c r="G329" i="2"/>
  <c r="G477" i="2"/>
  <c r="F25" i="23"/>
  <c r="E13" i="12"/>
  <c r="D12" i="12"/>
  <c r="E16" i="11"/>
  <c r="E52" i="11"/>
  <c r="E12" i="23" l="1"/>
  <c r="H209" i="2"/>
  <c r="F14" i="16"/>
  <c r="H539" i="2"/>
  <c r="F24" i="16"/>
  <c r="H328" i="2"/>
  <c r="F18" i="16"/>
  <c r="H488" i="2"/>
  <c r="F21" i="16"/>
  <c r="G180" i="2"/>
  <c r="G488" i="2"/>
  <c r="G539" i="2"/>
  <c r="G560" i="2"/>
  <c r="E451" i="2"/>
  <c r="G82" i="2"/>
  <c r="G290" i="2"/>
  <c r="H194" i="2"/>
  <c r="H452" i="2"/>
  <c r="G428" i="2"/>
  <c r="H428" i="2"/>
  <c r="H21" i="2"/>
  <c r="G21" i="2"/>
  <c r="E14" i="2"/>
  <c r="F11" i="16" s="1"/>
  <c r="F233" i="2"/>
  <c r="G15" i="16" s="1"/>
  <c r="G234" i="2"/>
  <c r="E233" i="2"/>
  <c r="F15" i="16" s="1"/>
  <c r="H234" i="2"/>
  <c r="G317" i="2"/>
  <c r="H317" i="2"/>
  <c r="G366" i="2"/>
  <c r="F358" i="2"/>
  <c r="G19" i="16" s="1"/>
  <c r="H294" i="2"/>
  <c r="G294" i="2"/>
  <c r="F309" i="2"/>
  <c r="G17" i="16" s="1"/>
  <c r="G194" i="2"/>
  <c r="E358" i="2"/>
  <c r="F19" i="16" s="1"/>
  <c r="H359" i="2"/>
  <c r="G359" i="2"/>
  <c r="H500" i="2"/>
  <c r="G500" i="2"/>
  <c r="H286" i="2"/>
  <c r="G286" i="2"/>
  <c r="H560" i="2"/>
  <c r="G32" i="2"/>
  <c r="G58" i="2"/>
  <c r="E167" i="2"/>
  <c r="E64" i="2" s="1"/>
  <c r="F12" i="16" s="1"/>
  <c r="G328" i="2"/>
  <c r="G209" i="2"/>
  <c r="H366" i="2"/>
  <c r="E12" i="12"/>
  <c r="D11" i="12"/>
  <c r="G25" i="16" l="1"/>
  <c r="H451" i="2"/>
  <c r="F20" i="16"/>
  <c r="F25" i="16" s="1"/>
  <c r="G451" i="2"/>
  <c r="F9" i="2"/>
  <c r="F620" i="2" s="1"/>
  <c r="H358" i="2"/>
  <c r="H233" i="2"/>
  <c r="G309" i="2"/>
  <c r="H309" i="2"/>
  <c r="G14" i="2"/>
  <c r="H14" i="2"/>
  <c r="G358" i="2"/>
  <c r="H167" i="2"/>
  <c r="G167" i="2"/>
  <c r="E9" i="2"/>
  <c r="G233" i="2"/>
  <c r="E41" i="23"/>
  <c r="F41" i="23"/>
  <c r="E11" i="12"/>
  <c r="E620" i="2" l="1"/>
  <c r="H9" i="2"/>
  <c r="H64" i="2"/>
  <c r="G64" i="2"/>
  <c r="G9" i="2"/>
  <c r="H620" i="2" l="1"/>
  <c r="G620" i="2"/>
  <c r="H665" i="1" l="1"/>
  <c r="G665" i="1"/>
  <c r="H642" i="1"/>
  <c r="E33" i="18" s="1"/>
  <c r="G642" i="1"/>
  <c r="D33" i="18" s="1"/>
  <c r="D32" i="18" s="1"/>
  <c r="I645" i="1"/>
  <c r="I600" i="1"/>
  <c r="I599" i="1"/>
  <c r="I596" i="1"/>
  <c r="I595" i="1"/>
  <c r="I583" i="1"/>
  <c r="I582" i="1"/>
  <c r="I593" i="1"/>
  <c r="I592" i="1"/>
  <c r="H560" i="1"/>
  <c r="G560" i="1"/>
  <c r="F560" i="1"/>
  <c r="I545" i="1"/>
  <c r="H544" i="1"/>
  <c r="H543" i="1" s="1"/>
  <c r="H542" i="1" s="1"/>
  <c r="H541" i="1" s="1"/>
  <c r="H540" i="1" s="1"/>
  <c r="H539" i="1" s="1"/>
  <c r="H538" i="1" s="1"/>
  <c r="G544" i="1"/>
  <c r="G543" i="1" s="1"/>
  <c r="G542" i="1" s="1"/>
  <c r="G541" i="1" s="1"/>
  <c r="G540" i="1" s="1"/>
  <c r="G539" i="1" s="1"/>
  <c r="G538" i="1" s="1"/>
  <c r="E32" i="18" l="1"/>
  <c r="G33" i="18"/>
  <c r="I538" i="1"/>
  <c r="I541" i="1"/>
  <c r="I540" i="1"/>
  <c r="I544" i="1"/>
  <c r="I539" i="1"/>
  <c r="I543" i="1"/>
  <c r="I542" i="1"/>
  <c r="G32" i="18" l="1"/>
  <c r="H527" i="1"/>
  <c r="G527" i="1"/>
  <c r="H503" i="1"/>
  <c r="G503" i="1"/>
  <c r="I505" i="1"/>
  <c r="F463" i="1"/>
  <c r="H468" i="1"/>
  <c r="G468" i="1"/>
  <c r="F468" i="1"/>
  <c r="H459" i="1"/>
  <c r="H458" i="1" s="1"/>
  <c r="G459" i="1"/>
  <c r="G458" i="1" s="1"/>
  <c r="I413" i="1"/>
  <c r="I412" i="1"/>
  <c r="H411" i="1"/>
  <c r="G411" i="1"/>
  <c r="G410" i="1" s="1"/>
  <c r="H407" i="1"/>
  <c r="G407" i="1"/>
  <c r="I408" i="1"/>
  <c r="I421" i="1"/>
  <c r="H420" i="1"/>
  <c r="G420" i="1"/>
  <c r="H395" i="1"/>
  <c r="G395" i="1"/>
  <c r="I379" i="1"/>
  <c r="H378" i="1"/>
  <c r="G378" i="1"/>
  <c r="H398" i="1"/>
  <c r="G398" i="1"/>
  <c r="F398" i="1"/>
  <c r="H385" i="1"/>
  <c r="G385" i="1"/>
  <c r="I387" i="1"/>
  <c r="H382" i="1"/>
  <c r="G382" i="1"/>
  <c r="I384" i="1"/>
  <c r="I365" i="1"/>
  <c r="H364" i="1"/>
  <c r="G364" i="1"/>
  <c r="H337" i="1"/>
  <c r="G337" i="1"/>
  <c r="I339" i="1"/>
  <c r="I310" i="1"/>
  <c r="H309" i="1"/>
  <c r="G309" i="1"/>
  <c r="H289" i="1"/>
  <c r="G289" i="1"/>
  <c r="I290" i="1"/>
  <c r="G269" i="1"/>
  <c r="H269" i="1"/>
  <c r="I271" i="1"/>
  <c r="I218" i="1"/>
  <c r="I217" i="1"/>
  <c r="I216" i="1"/>
  <c r="I213" i="1"/>
  <c r="I212" i="1"/>
  <c r="I211" i="1"/>
  <c r="H215" i="1"/>
  <c r="H214" i="1" s="1"/>
  <c r="H210" i="1"/>
  <c r="H209" i="1" s="1"/>
  <c r="G210" i="1"/>
  <c r="G209" i="1" s="1"/>
  <c r="G215" i="1"/>
  <c r="G214" i="1" s="1"/>
  <c r="I201" i="1"/>
  <c r="H200" i="1"/>
  <c r="G200" i="1"/>
  <c r="F200" i="1"/>
  <c r="H175" i="1"/>
  <c r="G175" i="1"/>
  <c r="F175" i="1"/>
  <c r="H164" i="1"/>
  <c r="G164" i="1"/>
  <c r="I166" i="1"/>
  <c r="I155" i="1"/>
  <c r="I153" i="1"/>
  <c r="H154" i="1"/>
  <c r="G154" i="1"/>
  <c r="I119" i="1"/>
  <c r="I118" i="1"/>
  <c r="I117" i="1"/>
  <c r="H140" i="1"/>
  <c r="G140" i="1"/>
  <c r="I143" i="1"/>
  <c r="I441" i="1"/>
  <c r="I440" i="1"/>
  <c r="I439" i="1"/>
  <c r="I438" i="1"/>
  <c r="I65" i="1"/>
  <c r="I64" i="1"/>
  <c r="G30" i="1"/>
  <c r="D17" i="18" s="1"/>
  <c r="H30" i="1"/>
  <c r="E17" i="18" s="1"/>
  <c r="I24" i="1"/>
  <c r="I23" i="1"/>
  <c r="I908" i="1"/>
  <c r="I906" i="1"/>
  <c r="I904" i="1"/>
  <c r="I902" i="1"/>
  <c r="I900" i="1"/>
  <c r="I889" i="1"/>
  <c r="I885" i="1"/>
  <c r="I875" i="1"/>
  <c r="I872" i="1"/>
  <c r="I870" i="1"/>
  <c r="I867" i="1"/>
  <c r="I866" i="1"/>
  <c r="I852" i="1"/>
  <c r="I845" i="1"/>
  <c r="I844" i="1"/>
  <c r="I836" i="1"/>
  <c r="I832" i="1"/>
  <c r="I818" i="1"/>
  <c r="I810" i="1"/>
  <c r="I797" i="1"/>
  <c r="I795" i="1"/>
  <c r="I793" i="1"/>
  <c r="I787" i="1"/>
  <c r="I786" i="1"/>
  <c r="I770" i="1"/>
  <c r="I763" i="1"/>
  <c r="I730" i="1"/>
  <c r="I728" i="1"/>
  <c r="I717" i="1"/>
  <c r="I710" i="1"/>
  <c r="I709" i="1"/>
  <c r="I707" i="1"/>
  <c r="I701" i="1"/>
  <c r="I699" i="1"/>
  <c r="I695" i="1"/>
  <c r="I687" i="1"/>
  <c r="I679" i="1"/>
  <c r="I675" i="1"/>
  <c r="I673" i="1"/>
  <c r="I669" i="1"/>
  <c r="I668" i="1"/>
  <c r="I667" i="1"/>
  <c r="I664" i="1"/>
  <c r="I662" i="1"/>
  <c r="I658" i="1"/>
  <c r="I656" i="1"/>
  <c r="I654" i="1"/>
  <c r="I652" i="1"/>
  <c r="I650" i="1"/>
  <c r="I644" i="1"/>
  <c r="I636" i="1"/>
  <c r="I634" i="1"/>
  <c r="I623" i="1"/>
  <c r="I622" i="1"/>
  <c r="I621" i="1"/>
  <c r="I617" i="1"/>
  <c r="I616" i="1"/>
  <c r="I612" i="1"/>
  <c r="I610" i="1"/>
  <c r="I608" i="1"/>
  <c r="I604" i="1"/>
  <c r="I598" i="1"/>
  <c r="I591" i="1"/>
  <c r="I587" i="1"/>
  <c r="I585" i="1"/>
  <c r="I581" i="1"/>
  <c r="I578" i="1"/>
  <c r="I577" i="1"/>
  <c r="I574" i="1"/>
  <c r="I572" i="1"/>
  <c r="I565" i="1"/>
  <c r="I561" i="1"/>
  <c r="I558" i="1"/>
  <c r="I556" i="1"/>
  <c r="I555" i="1"/>
  <c r="I553" i="1"/>
  <c r="I536" i="1"/>
  <c r="I530" i="1"/>
  <c r="I529" i="1"/>
  <c r="I528" i="1"/>
  <c r="I525" i="1"/>
  <c r="I504" i="1"/>
  <c r="I490" i="1"/>
  <c r="I483" i="1"/>
  <c r="I482" i="1"/>
  <c r="I477" i="1"/>
  <c r="I469" i="1"/>
  <c r="I467" i="1"/>
  <c r="I451" i="1"/>
  <c r="I449" i="1"/>
  <c r="I437" i="1"/>
  <c r="I436" i="1"/>
  <c r="I432" i="1"/>
  <c r="I431" i="1"/>
  <c r="I430" i="1"/>
  <c r="I425" i="1"/>
  <c r="I422" i="1"/>
  <c r="I418" i="1"/>
  <c r="I416" i="1"/>
  <c r="I409" i="1"/>
  <c r="I405" i="1"/>
  <c r="I404" i="1"/>
  <c r="I400" i="1"/>
  <c r="I399" i="1"/>
  <c r="I397" i="1"/>
  <c r="I393" i="1"/>
  <c r="I391" i="1"/>
  <c r="I389" i="1"/>
  <c r="I388" i="1"/>
  <c r="I386" i="1"/>
  <c r="I383" i="1"/>
  <c r="I381" i="1"/>
  <c r="I380" i="1"/>
  <c r="I374" i="1"/>
  <c r="I373" i="1"/>
  <c r="I372" i="1"/>
  <c r="I361" i="1"/>
  <c r="I360" i="1"/>
  <c r="I358" i="1"/>
  <c r="I354" i="1"/>
  <c r="I353" i="1"/>
  <c r="I345" i="1"/>
  <c r="I343" i="1"/>
  <c r="I341" i="1"/>
  <c r="I338" i="1"/>
  <c r="I334" i="1"/>
  <c r="I327" i="1"/>
  <c r="I326" i="1"/>
  <c r="I323" i="1"/>
  <c r="I321" i="1"/>
  <c r="I319" i="1"/>
  <c r="I317" i="1"/>
  <c r="I308" i="1"/>
  <c r="I306" i="1"/>
  <c r="I299" i="1"/>
  <c r="I298" i="1"/>
  <c r="I295" i="1"/>
  <c r="I291" i="1"/>
  <c r="I286" i="1"/>
  <c r="I281" i="1"/>
  <c r="I276" i="1"/>
  <c r="I273" i="1"/>
  <c r="I270" i="1"/>
  <c r="I264" i="1"/>
  <c r="I261" i="1"/>
  <c r="I257" i="1"/>
  <c r="I256" i="1"/>
  <c r="I255" i="1"/>
  <c r="I251" i="1"/>
  <c r="I248" i="1"/>
  <c r="I244" i="1"/>
  <c r="I243" i="1"/>
  <c r="I239" i="1"/>
  <c r="I236" i="1"/>
  <c r="I229" i="1"/>
  <c r="I222" i="1"/>
  <c r="I206" i="1"/>
  <c r="I199" i="1"/>
  <c r="I195" i="1"/>
  <c r="I193" i="1"/>
  <c r="I190" i="1"/>
  <c r="I182" i="1"/>
  <c r="I178" i="1"/>
  <c r="I176" i="1"/>
  <c r="I174" i="1"/>
  <c r="I172" i="1"/>
  <c r="I171" i="1"/>
  <c r="I165" i="1"/>
  <c r="I163" i="1"/>
  <c r="I156" i="1"/>
  <c r="I151" i="1"/>
  <c r="I149" i="1"/>
  <c r="I142" i="1"/>
  <c r="I141" i="1"/>
  <c r="I139" i="1"/>
  <c r="I137" i="1"/>
  <c r="I135" i="1"/>
  <c r="I128" i="1"/>
  <c r="I127" i="1"/>
  <c r="I114" i="1"/>
  <c r="I112" i="1"/>
  <c r="I110" i="1"/>
  <c r="I108" i="1"/>
  <c r="I104" i="1"/>
  <c r="I103" i="1"/>
  <c r="I102" i="1"/>
  <c r="I98" i="1"/>
  <c r="I97" i="1"/>
  <c r="I86" i="1"/>
  <c r="I85" i="1"/>
  <c r="I81" i="1"/>
  <c r="I79" i="1"/>
  <c r="I72" i="1"/>
  <c r="I63" i="1"/>
  <c r="I61" i="1"/>
  <c r="I57" i="1"/>
  <c r="I56" i="1"/>
  <c r="I52" i="1"/>
  <c r="I50" i="1"/>
  <c r="I49" i="1"/>
  <c r="I47" i="1"/>
  <c r="I46" i="1"/>
  <c r="I44" i="1"/>
  <c r="I42" i="1"/>
  <c r="I41" i="1"/>
  <c r="I39" i="1"/>
  <c r="I38" i="1"/>
  <c r="I34" i="1"/>
  <c r="I32" i="1"/>
  <c r="I31" i="1"/>
  <c r="I22" i="1"/>
  <c r="G17" i="18" l="1"/>
  <c r="I411" i="1"/>
  <c r="H410" i="1"/>
  <c r="I410" i="1" s="1"/>
  <c r="I459" i="1"/>
  <c r="I458" i="1"/>
  <c r="I364" i="1"/>
  <c r="I309" i="1"/>
  <c r="I289" i="1"/>
  <c r="I200" i="1"/>
  <c r="I214" i="1"/>
  <c r="G208" i="1"/>
  <c r="G207" i="1" s="1"/>
  <c r="I215" i="1"/>
  <c r="I209" i="1"/>
  <c r="H208" i="1"/>
  <c r="I210" i="1"/>
  <c r="H907" i="1"/>
  <c r="G907" i="1"/>
  <c r="H905" i="1"/>
  <c r="G905" i="1"/>
  <c r="H903" i="1"/>
  <c r="G903" i="1"/>
  <c r="H901" i="1"/>
  <c r="G901" i="1"/>
  <c r="H899" i="1"/>
  <c r="H898" i="1" s="1"/>
  <c r="G899" i="1"/>
  <c r="G898" i="1" s="1"/>
  <c r="H893" i="1"/>
  <c r="G893" i="1"/>
  <c r="G892" i="1" s="1"/>
  <c r="G891" i="1" s="1"/>
  <c r="G890" i="1" s="1"/>
  <c r="H888" i="1"/>
  <c r="G888" i="1"/>
  <c r="G887" i="1" s="1"/>
  <c r="G886" i="1" s="1"/>
  <c r="G883" i="1"/>
  <c r="H874" i="1"/>
  <c r="G874" i="1"/>
  <c r="G873" i="1" s="1"/>
  <c r="H871" i="1"/>
  <c r="E28" i="18" s="1"/>
  <c r="G871" i="1"/>
  <c r="D28" i="18" s="1"/>
  <c r="H869" i="1"/>
  <c r="G869" i="1"/>
  <c r="G868" i="1" s="1"/>
  <c r="D27" i="18" s="1"/>
  <c r="H860" i="1"/>
  <c r="G860" i="1"/>
  <c r="G859" i="1" s="1"/>
  <c r="G858" i="1" s="1"/>
  <c r="G857" i="1" s="1"/>
  <c r="G856" i="1" s="1"/>
  <c r="G855" i="1" s="1"/>
  <c r="G854" i="1" s="1"/>
  <c r="G853" i="1" s="1"/>
  <c r="H851" i="1"/>
  <c r="G851" i="1"/>
  <c r="G850" i="1" s="1"/>
  <c r="G849" i="1" s="1"/>
  <c r="G848" i="1" s="1"/>
  <c r="G847" i="1" s="1"/>
  <c r="G846" i="1" s="1"/>
  <c r="H843" i="1"/>
  <c r="G843" i="1"/>
  <c r="G842" i="1" s="1"/>
  <c r="G841" i="1" s="1"/>
  <c r="G840" i="1" s="1"/>
  <c r="G839" i="1" s="1"/>
  <c r="G838" i="1" s="1"/>
  <c r="G837" i="1" s="1"/>
  <c r="H835" i="1"/>
  <c r="H834" i="1" s="1"/>
  <c r="G835" i="1"/>
  <c r="G834" i="1" s="1"/>
  <c r="G833" i="1" s="1"/>
  <c r="H831" i="1"/>
  <c r="G831" i="1"/>
  <c r="G830" i="1" s="1"/>
  <c r="H823" i="1"/>
  <c r="G823" i="1"/>
  <c r="G820" i="1"/>
  <c r="G819" i="1" s="1"/>
  <c r="H817" i="1"/>
  <c r="G817" i="1"/>
  <c r="H816" i="1"/>
  <c r="G816" i="1"/>
  <c r="G815" i="1" s="1"/>
  <c r="H809" i="1"/>
  <c r="H808" i="1" s="1"/>
  <c r="G809" i="1"/>
  <c r="G802" i="1"/>
  <c r="G799" i="1" s="1"/>
  <c r="H796" i="1"/>
  <c r="G796" i="1"/>
  <c r="G794" i="1"/>
  <c r="H792" i="1"/>
  <c r="G792" i="1"/>
  <c r="H790" i="1"/>
  <c r="G790" i="1"/>
  <c r="G789" i="1" s="1"/>
  <c r="G788" i="1" s="1"/>
  <c r="H785" i="1"/>
  <c r="H784" i="1" s="1"/>
  <c r="G785" i="1"/>
  <c r="G784" i="1" s="1"/>
  <c r="G783" i="1" s="1"/>
  <c r="H782" i="1"/>
  <c r="G782" i="1"/>
  <c r="G781" i="1" s="1"/>
  <c r="G780" i="1" s="1"/>
  <c r="H769" i="1"/>
  <c r="G769" i="1"/>
  <c r="G768" i="1" s="1"/>
  <c r="G767" i="1" s="1"/>
  <c r="H762" i="1"/>
  <c r="H761" i="1" s="1"/>
  <c r="G762" i="1"/>
  <c r="G761" i="1" s="1"/>
  <c r="H756" i="1"/>
  <c r="G756" i="1"/>
  <c r="G755" i="1" s="1"/>
  <c r="G754" i="1" s="1"/>
  <c r="G753" i="1" s="1"/>
  <c r="H752" i="1"/>
  <c r="G752" i="1"/>
  <c r="G751" i="1" s="1"/>
  <c r="G750" i="1" s="1"/>
  <c r="G749" i="1" s="1"/>
  <c r="G748" i="1" s="1"/>
  <c r="G747" i="1" s="1"/>
  <c r="H729" i="1"/>
  <c r="G729" i="1"/>
  <c r="G725" i="1"/>
  <c r="H724" i="1"/>
  <c r="H723" i="1" s="1"/>
  <c r="G724" i="1"/>
  <c r="G723" i="1" s="1"/>
  <c r="H716" i="1"/>
  <c r="G716" i="1"/>
  <c r="G715" i="1" s="1"/>
  <c r="G714" i="1" s="1"/>
  <c r="G713" i="1" s="1"/>
  <c r="G712" i="1" s="1"/>
  <c r="G711" i="1" s="1"/>
  <c r="H708" i="1"/>
  <c r="G708" i="1"/>
  <c r="H706" i="1"/>
  <c r="G706" i="1"/>
  <c r="G702" i="1"/>
  <c r="H700" i="1"/>
  <c r="G700" i="1"/>
  <c r="H698" i="1"/>
  <c r="G698" i="1"/>
  <c r="H694" i="1"/>
  <c r="G694" i="1"/>
  <c r="G693" i="1" s="1"/>
  <c r="G692" i="1" s="1"/>
  <c r="H686" i="1"/>
  <c r="H685" i="1" s="1"/>
  <c r="G686" i="1"/>
  <c r="G685" i="1" s="1"/>
  <c r="G684" i="1" s="1"/>
  <c r="H678" i="1"/>
  <c r="G678" i="1"/>
  <c r="G677" i="1" s="1"/>
  <c r="G676" i="1" s="1"/>
  <c r="H674" i="1"/>
  <c r="G674" i="1"/>
  <c r="H672" i="1"/>
  <c r="G672" i="1"/>
  <c r="H663" i="1"/>
  <c r="G663" i="1"/>
  <c r="H661" i="1"/>
  <c r="G661" i="1"/>
  <c r="H657" i="1"/>
  <c r="G657" i="1"/>
  <c r="H655" i="1"/>
  <c r="G655" i="1"/>
  <c r="H653" i="1"/>
  <c r="G653" i="1"/>
  <c r="H651" i="1"/>
  <c r="G651" i="1"/>
  <c r="H649" i="1"/>
  <c r="G649" i="1"/>
  <c r="G641" i="1"/>
  <c r="G640" i="1" s="1"/>
  <c r="G639" i="1" s="1"/>
  <c r="H635" i="1"/>
  <c r="G635" i="1"/>
  <c r="H633" i="1"/>
  <c r="G633" i="1"/>
  <c r="H627" i="1"/>
  <c r="G627" i="1"/>
  <c r="G626" i="1" s="1"/>
  <c r="G625" i="1" s="1"/>
  <c r="G624" i="1" s="1"/>
  <c r="H620" i="1"/>
  <c r="G620" i="1"/>
  <c r="G619" i="1" s="1"/>
  <c r="G618" i="1" s="1"/>
  <c r="H615" i="1"/>
  <c r="G615" i="1"/>
  <c r="G614" i="1" s="1"/>
  <c r="G613" i="1" s="1"/>
  <c r="H611" i="1"/>
  <c r="G611" i="1"/>
  <c r="H609" i="1"/>
  <c r="G609" i="1"/>
  <c r="H607" i="1"/>
  <c r="G607" i="1"/>
  <c r="H603" i="1"/>
  <c r="H602" i="1" s="1"/>
  <c r="G603" i="1"/>
  <c r="G602" i="1" s="1"/>
  <c r="G601" i="1" s="1"/>
  <c r="H597" i="1"/>
  <c r="H594" i="1" s="1"/>
  <c r="G597" i="1"/>
  <c r="G594" i="1" s="1"/>
  <c r="H590" i="1"/>
  <c r="G590" i="1"/>
  <c r="H586" i="1"/>
  <c r="G586" i="1"/>
  <c r="H584" i="1"/>
  <c r="G584" i="1"/>
  <c r="H580" i="1"/>
  <c r="G580" i="1"/>
  <c r="H576" i="1"/>
  <c r="G576" i="1"/>
  <c r="H575" i="1"/>
  <c r="G575" i="1"/>
  <c r="H573" i="1"/>
  <c r="G573" i="1"/>
  <c r="H571" i="1"/>
  <c r="G571" i="1"/>
  <c r="H564" i="1"/>
  <c r="G564" i="1"/>
  <c r="G563" i="1" s="1"/>
  <c r="G562" i="1" s="1"/>
  <c r="G559" i="1"/>
  <c r="H557" i="1"/>
  <c r="G557" i="1"/>
  <c r="H554" i="1"/>
  <c r="G554" i="1"/>
  <c r="H552" i="1"/>
  <c r="G552" i="1"/>
  <c r="H535" i="1"/>
  <c r="G535" i="1"/>
  <c r="G534" i="1" s="1"/>
  <c r="G533" i="1" s="1"/>
  <c r="G532" i="1" s="1"/>
  <c r="G531" i="1" s="1"/>
  <c r="G526" i="1"/>
  <c r="H524" i="1"/>
  <c r="G524" i="1"/>
  <c r="G507" i="1"/>
  <c r="G506" i="1" s="1"/>
  <c r="G502" i="1"/>
  <c r="G501" i="1" s="1"/>
  <c r="G498" i="1"/>
  <c r="G497" i="1" s="1"/>
  <c r="G496" i="1" s="1"/>
  <c r="G495" i="1" s="1"/>
  <c r="G494" i="1" s="1"/>
  <c r="G493" i="1" s="1"/>
  <c r="G492" i="1" s="1"/>
  <c r="H489" i="1"/>
  <c r="H488" i="1" s="1"/>
  <c r="G489" i="1"/>
  <c r="G488" i="1" s="1"/>
  <c r="G487" i="1" s="1"/>
  <c r="G486" i="1" s="1"/>
  <c r="G485" i="1" s="1"/>
  <c r="G484" i="1" s="1"/>
  <c r="H481" i="1"/>
  <c r="G481" i="1"/>
  <c r="G480" i="1" s="1"/>
  <c r="G479" i="1" s="1"/>
  <c r="G478" i="1" s="1"/>
  <c r="H476" i="1"/>
  <c r="G476" i="1"/>
  <c r="H475" i="1"/>
  <c r="G475" i="1"/>
  <c r="H466" i="1"/>
  <c r="G466" i="1"/>
  <c r="G461" i="1"/>
  <c r="H450" i="1"/>
  <c r="G450" i="1"/>
  <c r="H448" i="1"/>
  <c r="G448" i="1"/>
  <c r="H435" i="1"/>
  <c r="G435" i="1"/>
  <c r="H434" i="1"/>
  <c r="G434" i="1"/>
  <c r="G433" i="1" s="1"/>
  <c r="H429" i="1"/>
  <c r="H428" i="1" s="1"/>
  <c r="G429" i="1"/>
  <c r="G428" i="1" s="1"/>
  <c r="G427" i="1" s="1"/>
  <c r="H424" i="1"/>
  <c r="H423" i="1" s="1"/>
  <c r="G424" i="1"/>
  <c r="G423" i="1" s="1"/>
  <c r="G419" i="1"/>
  <c r="H417" i="1"/>
  <c r="G417" i="1"/>
  <c r="H415" i="1"/>
  <c r="G415" i="1"/>
  <c r="H406" i="1"/>
  <c r="G406" i="1"/>
  <c r="H403" i="1"/>
  <c r="G403" i="1"/>
  <c r="G402" i="1" s="1"/>
  <c r="G394" i="1"/>
  <c r="H392" i="1"/>
  <c r="G392" i="1"/>
  <c r="H390" i="1"/>
  <c r="G390" i="1"/>
  <c r="G377" i="1"/>
  <c r="H371" i="1"/>
  <c r="G371" i="1"/>
  <c r="H370" i="1"/>
  <c r="G370" i="1"/>
  <c r="G369" i="1" s="1"/>
  <c r="H363" i="1"/>
  <c r="G363" i="1"/>
  <c r="G362" i="1" s="1"/>
  <c r="H359" i="1"/>
  <c r="G359" i="1"/>
  <c r="H357" i="1"/>
  <c r="G357" i="1"/>
  <c r="H352" i="1"/>
  <c r="G352" i="1"/>
  <c r="G351" i="1" s="1"/>
  <c r="G350" i="1" s="1"/>
  <c r="H349" i="1"/>
  <c r="G349" i="1"/>
  <c r="G348" i="1" s="1"/>
  <c r="G346" i="1"/>
  <c r="H344" i="1"/>
  <c r="G344" i="1"/>
  <c r="H342" i="1"/>
  <c r="G342" i="1"/>
  <c r="H340" i="1"/>
  <c r="G340" i="1"/>
  <c r="H333" i="1"/>
  <c r="G333" i="1"/>
  <c r="G332" i="1" s="1"/>
  <c r="G331" i="1" s="1"/>
  <c r="H325" i="1"/>
  <c r="G325" i="1"/>
  <c r="G324" i="1" s="1"/>
  <c r="H322" i="1"/>
  <c r="G322" i="1"/>
  <c r="H320" i="1"/>
  <c r="G320" i="1"/>
  <c r="H318" i="1"/>
  <c r="G318" i="1"/>
  <c r="H316" i="1"/>
  <c r="G316" i="1"/>
  <c r="G307" i="1"/>
  <c r="G305" i="1" s="1"/>
  <c r="H301" i="1"/>
  <c r="G301" i="1"/>
  <c r="G300" i="1" s="1"/>
  <c r="H297" i="1"/>
  <c r="G297" i="1"/>
  <c r="G296" i="1" s="1"/>
  <c r="H294" i="1"/>
  <c r="G294" i="1"/>
  <c r="H288" i="1"/>
  <c r="G288" i="1"/>
  <c r="G287" i="1" s="1"/>
  <c r="H285" i="1"/>
  <c r="G285" i="1"/>
  <c r="G284" i="1" s="1"/>
  <c r="H282" i="1"/>
  <c r="G282" i="1"/>
  <c r="H280" i="1"/>
  <c r="G280" i="1"/>
  <c r="H275" i="1"/>
  <c r="G275" i="1"/>
  <c r="G274" i="1" s="1"/>
  <c r="H272" i="1"/>
  <c r="G272" i="1"/>
  <c r="H263" i="1"/>
  <c r="G263" i="1"/>
  <c r="G262" i="1" s="1"/>
  <c r="H260" i="1"/>
  <c r="G260" i="1"/>
  <c r="G259" i="1" s="1"/>
  <c r="H254" i="1"/>
  <c r="H253" i="1" s="1"/>
  <c r="G254" i="1"/>
  <c r="G253" i="1" s="1"/>
  <c r="G252" i="1" s="1"/>
  <c r="H250" i="1"/>
  <c r="G250" i="1"/>
  <c r="G249" i="1" s="1"/>
  <c r="H247" i="1"/>
  <c r="G247" i="1"/>
  <c r="H246" i="1"/>
  <c r="H245" i="1" s="1"/>
  <c r="G246" i="1"/>
  <c r="G245" i="1" s="1"/>
  <c r="H242" i="1"/>
  <c r="G242" i="1"/>
  <c r="H241" i="1"/>
  <c r="G241" i="1"/>
  <c r="H238" i="1"/>
  <c r="H237" i="1" s="1"/>
  <c r="G238" i="1"/>
  <c r="G237" i="1" s="1"/>
  <c r="H235" i="1"/>
  <c r="H234" i="1" s="1"/>
  <c r="G235" i="1"/>
  <c r="G234" i="1" s="1"/>
  <c r="H228" i="1"/>
  <c r="G228" i="1"/>
  <c r="G227" i="1" s="1"/>
  <c r="G226" i="1" s="1"/>
  <c r="G225" i="1" s="1"/>
  <c r="H221" i="1"/>
  <c r="G221" i="1"/>
  <c r="G220" i="1" s="1"/>
  <c r="G219" i="1" s="1"/>
  <c r="H205" i="1"/>
  <c r="G205" i="1"/>
  <c r="G204" i="1" s="1"/>
  <c r="G203" i="1" s="1"/>
  <c r="G202" i="1" s="1"/>
  <c r="H198" i="1"/>
  <c r="G198" i="1"/>
  <c r="H196" i="1"/>
  <c r="G196" i="1"/>
  <c r="H194" i="1"/>
  <c r="G194" i="1"/>
  <c r="H192" i="1"/>
  <c r="G192" i="1"/>
  <c r="H189" i="1"/>
  <c r="G189" i="1"/>
  <c r="G188" i="1" s="1"/>
  <c r="H181" i="1"/>
  <c r="G181" i="1"/>
  <c r="G180" i="1" s="1"/>
  <c r="G179" i="1" s="1"/>
  <c r="H177" i="1"/>
  <c r="G177" i="1"/>
  <c r="I175" i="1"/>
  <c r="H173" i="1"/>
  <c r="G173" i="1"/>
  <c r="H170" i="1"/>
  <c r="G170" i="1"/>
  <c r="I164" i="1"/>
  <c r="H162" i="1"/>
  <c r="H161" i="1" s="1"/>
  <c r="H160" i="1" s="1"/>
  <c r="G162" i="1"/>
  <c r="H152" i="1"/>
  <c r="G152" i="1"/>
  <c r="G150" i="1" s="1"/>
  <c r="H148" i="1"/>
  <c r="G148" i="1"/>
  <c r="H138" i="1"/>
  <c r="G138" i="1"/>
  <c r="H136" i="1"/>
  <c r="G136" i="1"/>
  <c r="H134" i="1"/>
  <c r="G134" i="1"/>
  <c r="G126" i="1"/>
  <c r="H126" i="1"/>
  <c r="H125" i="1" s="1"/>
  <c r="H124" i="1" s="1"/>
  <c r="H123" i="1" s="1"/>
  <c r="H122" i="1" s="1"/>
  <c r="H121" i="1" s="1"/>
  <c r="H120" i="1" s="1"/>
  <c r="H113" i="1"/>
  <c r="G113" i="1"/>
  <c r="H111" i="1"/>
  <c r="G111" i="1"/>
  <c r="H109" i="1"/>
  <c r="G109" i="1"/>
  <c r="H107" i="1"/>
  <c r="G107" i="1"/>
  <c r="H106" i="1"/>
  <c r="G106" i="1"/>
  <c r="G105" i="1" s="1"/>
  <c r="H101" i="1"/>
  <c r="E22" i="18" s="1"/>
  <c r="G101" i="1"/>
  <c r="D22" i="18" s="1"/>
  <c r="H96" i="1"/>
  <c r="H95" i="1" s="1"/>
  <c r="H94" i="1" s="1"/>
  <c r="H93" i="1" s="1"/>
  <c r="G96" i="1"/>
  <c r="H92" i="1"/>
  <c r="E21" i="18" s="1"/>
  <c r="G92" i="1"/>
  <c r="H90" i="1"/>
  <c r="E20" i="18" s="1"/>
  <c r="G90" i="1"/>
  <c r="G89" i="1" s="1"/>
  <c r="H84" i="1"/>
  <c r="H83" i="1" s="1"/>
  <c r="H82" i="1" s="1"/>
  <c r="G84" i="1"/>
  <c r="H80" i="1"/>
  <c r="G80" i="1"/>
  <c r="H78" i="1"/>
  <c r="G78" i="1"/>
  <c r="H71" i="1"/>
  <c r="G71" i="1"/>
  <c r="G70" i="1" s="1"/>
  <c r="G69" i="1" s="1"/>
  <c r="G68" i="1" s="1"/>
  <c r="G67" i="1" s="1"/>
  <c r="G66" i="1" s="1"/>
  <c r="H62" i="1"/>
  <c r="G62" i="1"/>
  <c r="H60" i="1"/>
  <c r="G60" i="1"/>
  <c r="H55" i="1"/>
  <c r="H54" i="1" s="1"/>
  <c r="H53" i="1" s="1"/>
  <c r="G55" i="1"/>
  <c r="G54" i="1" s="1"/>
  <c r="H51" i="1"/>
  <c r="G51" i="1"/>
  <c r="H48" i="1"/>
  <c r="G48" i="1"/>
  <c r="H45" i="1"/>
  <c r="G45" i="1"/>
  <c r="H43" i="1"/>
  <c r="G43" i="1"/>
  <c r="H40" i="1"/>
  <c r="G40" i="1"/>
  <c r="H37" i="1"/>
  <c r="G37" i="1"/>
  <c r="H29" i="1"/>
  <c r="H28" i="1" s="1"/>
  <c r="H21" i="1"/>
  <c r="G21" i="1"/>
  <c r="H18" i="1"/>
  <c r="E16" i="18" s="1"/>
  <c r="G18" i="1"/>
  <c r="G814" i="1" l="1"/>
  <c r="G28" i="18"/>
  <c r="D25" i="18"/>
  <c r="H807" i="1"/>
  <c r="E35" i="18"/>
  <c r="G882" i="1"/>
  <c r="G881" i="1" s="1"/>
  <c r="D31" i="18"/>
  <c r="D30" i="18" s="1"/>
  <c r="G22" i="18"/>
  <c r="E15" i="18"/>
  <c r="G91" i="1"/>
  <c r="G88" i="1" s="1"/>
  <c r="G87" i="1" s="1"/>
  <c r="D21" i="18"/>
  <c r="G21" i="18" s="1"/>
  <c r="G808" i="1"/>
  <c r="D35" i="18" s="1"/>
  <c r="D34" i="18" s="1"/>
  <c r="G17" i="1"/>
  <c r="G16" i="1" s="1"/>
  <c r="G15" i="1" s="1"/>
  <c r="G14" i="1" s="1"/>
  <c r="G13" i="1" s="1"/>
  <c r="D16" i="18"/>
  <c r="G16" i="18" s="1"/>
  <c r="I799" i="1"/>
  <c r="H579" i="1"/>
  <c r="G766" i="1"/>
  <c r="G765" i="1" s="1"/>
  <c r="G764" i="1" s="1"/>
  <c r="G579" i="1"/>
  <c r="H606" i="1"/>
  <c r="G606" i="1"/>
  <c r="G605" i="1" s="1"/>
  <c r="G457" i="1"/>
  <c r="G456" i="1" s="1"/>
  <c r="G455" i="1" s="1"/>
  <c r="G454" i="1" s="1"/>
  <c r="G401" i="1"/>
  <c r="G414" i="1"/>
  <c r="G336" i="1"/>
  <c r="G335" i="1" s="1"/>
  <c r="G330" i="1" s="1"/>
  <c r="G329" i="1" s="1"/>
  <c r="I661" i="1"/>
  <c r="I698" i="1"/>
  <c r="G356" i="1"/>
  <c r="G355" i="1" s="1"/>
  <c r="I325" i="1"/>
  <c r="G648" i="1"/>
  <c r="G647" i="1" s="1"/>
  <c r="I347" i="1"/>
  <c r="I370" i="1"/>
  <c r="H59" i="1"/>
  <c r="H58" i="1" s="1"/>
  <c r="I403" i="1"/>
  <c r="I435" i="1"/>
  <c r="I481" i="1"/>
  <c r="G304" i="1"/>
  <c r="G303" i="1" s="1"/>
  <c r="I573" i="1"/>
  <c r="I84" i="1"/>
  <c r="I498" i="1"/>
  <c r="G426" i="1"/>
  <c r="I576" i="1"/>
  <c r="G191" i="1"/>
  <c r="G187" i="1" s="1"/>
  <c r="G186" i="1" s="1"/>
  <c r="H447" i="1"/>
  <c r="H446" i="1" s="1"/>
  <c r="I607" i="1"/>
  <c r="I611" i="1"/>
  <c r="I794" i="1"/>
  <c r="I820" i="1"/>
  <c r="I726" i="1"/>
  <c r="G279" i="1"/>
  <c r="G278" i="1" s="1"/>
  <c r="G277" i="1" s="1"/>
  <c r="I43" i="1"/>
  <c r="G77" i="1"/>
  <c r="G76" i="1" s="1"/>
  <c r="I170" i="1"/>
  <c r="H191" i="1"/>
  <c r="I205" i="1"/>
  <c r="I238" i="1"/>
  <c r="G465" i="1"/>
  <c r="G464" i="1" s="1"/>
  <c r="H480" i="1"/>
  <c r="I480" i="1" s="1"/>
  <c r="G632" i="1"/>
  <c r="G631" i="1" s="1"/>
  <c r="G630" i="1" s="1"/>
  <c r="G629" i="1" s="1"/>
  <c r="G628" i="1" s="1"/>
  <c r="I663" i="1"/>
  <c r="G705" i="1"/>
  <c r="G704" i="1" s="1"/>
  <c r="G722" i="1"/>
  <c r="G721" i="1" s="1"/>
  <c r="G720" i="1" s="1"/>
  <c r="G719" i="1" s="1"/>
  <c r="G718" i="1" s="1"/>
  <c r="I901" i="1"/>
  <c r="I905" i="1"/>
  <c r="I423" i="1"/>
  <c r="G240" i="1"/>
  <c r="G233" i="1" s="1"/>
  <c r="I357" i="1"/>
  <c r="I371" i="1"/>
  <c r="I415" i="1"/>
  <c r="I434" i="1"/>
  <c r="G447" i="1"/>
  <c r="G446" i="1" s="1"/>
  <c r="G445" i="1" s="1"/>
  <c r="G444" i="1" s="1"/>
  <c r="G443" i="1" s="1"/>
  <c r="G442" i="1" s="1"/>
  <c r="H465" i="1"/>
  <c r="H464" i="1" s="1"/>
  <c r="G671" i="1"/>
  <c r="G670" i="1" s="1"/>
  <c r="I835" i="1"/>
  <c r="I869" i="1"/>
  <c r="I177" i="1"/>
  <c r="I242" i="1"/>
  <c r="I272" i="1"/>
  <c r="I288" i="1"/>
  <c r="I527" i="1"/>
  <c r="I609" i="1"/>
  <c r="H660" i="1"/>
  <c r="H659" i="1" s="1"/>
  <c r="I792" i="1"/>
  <c r="I796" i="1"/>
  <c r="G813" i="1"/>
  <c r="G812" i="1" s="1"/>
  <c r="H819" i="1"/>
  <c r="I884" i="1"/>
  <c r="G897" i="1"/>
  <c r="G896" i="1" s="1"/>
  <c r="G895" i="1" s="1"/>
  <c r="H207" i="1"/>
  <c r="I207" i="1" s="1"/>
  <c r="I208" i="1"/>
  <c r="G147" i="1"/>
  <c r="G146" i="1" s="1"/>
  <c r="H402" i="1"/>
  <c r="I424" i="1"/>
  <c r="I571" i="1"/>
  <c r="I575" i="1"/>
  <c r="I729" i="1"/>
  <c r="G760" i="1"/>
  <c r="G759" i="1" s="1"/>
  <c r="G758" i="1" s="1"/>
  <c r="G757" i="1" s="1"/>
  <c r="I809" i="1"/>
  <c r="H204" i="1"/>
  <c r="I204" i="1" s="1"/>
  <c r="I269" i="1"/>
  <c r="H287" i="1"/>
  <c r="I287" i="1" s="1"/>
  <c r="I417" i="1"/>
  <c r="G551" i="1"/>
  <c r="G550" i="1" s="1"/>
  <c r="G549" i="1" s="1"/>
  <c r="G548" i="1" s="1"/>
  <c r="G547" i="1" s="1"/>
  <c r="I665" i="1"/>
  <c r="I173" i="1"/>
  <c r="G293" i="1"/>
  <c r="G292" i="1" s="1"/>
  <c r="I359" i="1"/>
  <c r="H570" i="1"/>
  <c r="H169" i="1"/>
  <c r="H850" i="1"/>
  <c r="I851" i="1"/>
  <c r="H868" i="1"/>
  <c r="E27" i="18" s="1"/>
  <c r="I871" i="1"/>
  <c r="H883" i="1"/>
  <c r="E31" i="18" s="1"/>
  <c r="I894" i="1"/>
  <c r="I899" i="1"/>
  <c r="I903" i="1"/>
  <c r="I907" i="1"/>
  <c r="H227" i="1"/>
  <c r="I228" i="1"/>
  <c r="H559" i="1"/>
  <c r="I559" i="1" s="1"/>
  <c r="I560" i="1"/>
  <c r="H626" i="1"/>
  <c r="I627" i="1"/>
  <c r="I700" i="1"/>
  <c r="H789" i="1"/>
  <c r="I790" i="1"/>
  <c r="H833" i="1"/>
  <c r="I833" i="1" s="1"/>
  <c r="I834" i="1"/>
  <c r="H17" i="1"/>
  <c r="I18" i="1"/>
  <c r="H105" i="1"/>
  <c r="I105" i="1" s="1"/>
  <c r="I106" i="1"/>
  <c r="H150" i="1"/>
  <c r="H147" i="1" s="1"/>
  <c r="H146" i="1" s="1"/>
  <c r="H145" i="1" s="1"/>
  <c r="H144" i="1" s="1"/>
  <c r="I152" i="1"/>
  <c r="I234" i="1"/>
  <c r="H252" i="1"/>
  <c r="I252" i="1" s="1"/>
  <c r="I253" i="1"/>
  <c r="H262" i="1"/>
  <c r="I262" i="1" s="1"/>
  <c r="I263" i="1"/>
  <c r="H274" i="1"/>
  <c r="I274" i="1" s="1"/>
  <c r="I275" i="1"/>
  <c r="H300" i="1"/>
  <c r="I316" i="1"/>
  <c r="I398" i="1"/>
  <c r="H427" i="1"/>
  <c r="I428" i="1"/>
  <c r="H487" i="1"/>
  <c r="I488" i="1"/>
  <c r="H502" i="1"/>
  <c r="I503" i="1"/>
  <c r="I580" i="1"/>
  <c r="H601" i="1"/>
  <c r="I601" i="1" s="1"/>
  <c r="I602" i="1"/>
  <c r="H632" i="1"/>
  <c r="I633" i="1"/>
  <c r="H648" i="1"/>
  <c r="I649" i="1"/>
  <c r="H684" i="1"/>
  <c r="I684" i="1" s="1"/>
  <c r="I685" i="1"/>
  <c r="H702" i="1"/>
  <c r="I702" i="1" s="1"/>
  <c r="I703" i="1"/>
  <c r="H705" i="1"/>
  <c r="I708" i="1"/>
  <c r="I723" i="1"/>
  <c r="H751" i="1"/>
  <c r="I752" i="1"/>
  <c r="H768" i="1"/>
  <c r="I769" i="1"/>
  <c r="H783" i="1"/>
  <c r="I783" i="1" s="1"/>
  <c r="I784" i="1"/>
  <c r="H798" i="1"/>
  <c r="H830" i="1"/>
  <c r="I830" i="1" s="1"/>
  <c r="I831" i="1"/>
  <c r="H859" i="1"/>
  <c r="I860" i="1"/>
  <c r="H873" i="1"/>
  <c r="I873" i="1" s="1"/>
  <c r="I874" i="1"/>
  <c r="I37" i="1"/>
  <c r="I48" i="1"/>
  <c r="I80" i="1"/>
  <c r="G100" i="1"/>
  <c r="I109" i="1"/>
  <c r="I113" i="1"/>
  <c r="I181" i="1"/>
  <c r="I194" i="1"/>
  <c r="I198" i="1"/>
  <c r="I245" i="1"/>
  <c r="I247" i="1"/>
  <c r="I285" i="1"/>
  <c r="I320" i="1"/>
  <c r="G315" i="1"/>
  <c r="G314" i="1" s="1"/>
  <c r="G313" i="1" s="1"/>
  <c r="I337" i="1"/>
  <c r="I342" i="1"/>
  <c r="I349" i="1"/>
  <c r="I382" i="1"/>
  <c r="I390" i="1"/>
  <c r="I406" i="1"/>
  <c r="I420" i="1"/>
  <c r="I450" i="1"/>
  <c r="I468" i="1"/>
  <c r="I476" i="1"/>
  <c r="G523" i="1"/>
  <c r="I554" i="1"/>
  <c r="I564" i="1"/>
  <c r="I586" i="1"/>
  <c r="I590" i="1"/>
  <c r="I615" i="1"/>
  <c r="I653" i="1"/>
  <c r="I657" i="1"/>
  <c r="I674" i="1"/>
  <c r="I817" i="1"/>
  <c r="H240" i="1"/>
  <c r="I241" i="1"/>
  <c r="H296" i="1"/>
  <c r="I296" i="1" s="1"/>
  <c r="I297" i="1"/>
  <c r="H394" i="1"/>
  <c r="I394" i="1" s="1"/>
  <c r="I395" i="1"/>
  <c r="H70" i="1"/>
  <c r="I71" i="1"/>
  <c r="H332" i="1"/>
  <c r="I333" i="1"/>
  <c r="H351" i="1"/>
  <c r="I352" i="1"/>
  <c r="H534" i="1"/>
  <c r="I535" i="1"/>
  <c r="I594" i="1"/>
  <c r="I597" i="1"/>
  <c r="H619" i="1"/>
  <c r="I620" i="1"/>
  <c r="H677" i="1"/>
  <c r="I678" i="1"/>
  <c r="H715" i="1"/>
  <c r="I716" i="1"/>
  <c r="H755" i="1"/>
  <c r="I756" i="1"/>
  <c r="H781" i="1"/>
  <c r="I782" i="1"/>
  <c r="H892" i="1"/>
  <c r="I893" i="1"/>
  <c r="H897" i="1"/>
  <c r="I898" i="1"/>
  <c r="G258" i="1"/>
  <c r="H324" i="1"/>
  <c r="I324" i="1" s="1"/>
  <c r="H346" i="1"/>
  <c r="H369" i="1"/>
  <c r="I369" i="1" s="1"/>
  <c r="G376" i="1"/>
  <c r="H433" i="1"/>
  <c r="I433" i="1" s="1"/>
  <c r="H497" i="1"/>
  <c r="H526" i="1"/>
  <c r="H725" i="1"/>
  <c r="I725" i="1" s="1"/>
  <c r="H91" i="1"/>
  <c r="I92" i="1"/>
  <c r="H259" i="1"/>
  <c r="I260" i="1"/>
  <c r="I643" i="1"/>
  <c r="H693" i="1"/>
  <c r="I694" i="1"/>
  <c r="H188" i="1"/>
  <c r="I189" i="1"/>
  <c r="H249" i="1"/>
  <c r="I249" i="1" s="1"/>
  <c r="I250" i="1"/>
  <c r="H279" i="1"/>
  <c r="I280" i="1"/>
  <c r="H305" i="1"/>
  <c r="H304" i="1" s="1"/>
  <c r="I307" i="1"/>
  <c r="H461" i="1"/>
  <c r="H457" i="1" s="1"/>
  <c r="I462" i="1"/>
  <c r="H89" i="1"/>
  <c r="I90" i="1"/>
  <c r="I192" i="1"/>
  <c r="H220" i="1"/>
  <c r="I221" i="1"/>
  <c r="H362" i="1"/>
  <c r="H356" i="1" s="1"/>
  <c r="I363" i="1"/>
  <c r="H377" i="1"/>
  <c r="I377" i="1" s="1"/>
  <c r="I378" i="1"/>
  <c r="H671" i="1"/>
  <c r="I672" i="1"/>
  <c r="H815" i="1"/>
  <c r="I816" i="1"/>
  <c r="H842" i="1"/>
  <c r="I843" i="1"/>
  <c r="H887" i="1"/>
  <c r="I888" i="1"/>
  <c r="H268" i="1"/>
  <c r="I237" i="1"/>
  <c r="I40" i="1"/>
  <c r="I45" i="1"/>
  <c r="I51" i="1"/>
  <c r="I62" i="1"/>
  <c r="I96" i="1"/>
  <c r="I107" i="1"/>
  <c r="I111" i="1"/>
  <c r="I148" i="1"/>
  <c r="I162" i="1"/>
  <c r="G169" i="1"/>
  <c r="G168" i="1" s="1"/>
  <c r="G167" i="1" s="1"/>
  <c r="H180" i="1"/>
  <c r="I235" i="1"/>
  <c r="I246" i="1"/>
  <c r="I254" i="1"/>
  <c r="G268" i="1"/>
  <c r="G267" i="1" s="1"/>
  <c r="H284" i="1"/>
  <c r="I284" i="1" s="1"/>
  <c r="I294" i="1"/>
  <c r="I318" i="1"/>
  <c r="I322" i="1"/>
  <c r="I340" i="1"/>
  <c r="I344" i="1"/>
  <c r="H348" i="1"/>
  <c r="I348" i="1" s="1"/>
  <c r="I385" i="1"/>
  <c r="I392" i="1"/>
  <c r="I407" i="1"/>
  <c r="H419" i="1"/>
  <c r="I419" i="1" s="1"/>
  <c r="I429" i="1"/>
  <c r="I448" i="1"/>
  <c r="I466" i="1"/>
  <c r="I475" i="1"/>
  <c r="G474" i="1"/>
  <c r="G473" i="1" s="1"/>
  <c r="G472" i="1" s="1"/>
  <c r="G471" i="1" s="1"/>
  <c r="G470" i="1" s="1"/>
  <c r="I489" i="1"/>
  <c r="I524" i="1"/>
  <c r="I552" i="1"/>
  <c r="I557" i="1"/>
  <c r="H563" i="1"/>
  <c r="G570" i="1"/>
  <c r="G569" i="1" s="1"/>
  <c r="I584" i="1"/>
  <c r="I603" i="1"/>
  <c r="H614" i="1"/>
  <c r="I635" i="1"/>
  <c r="I651" i="1"/>
  <c r="I655" i="1"/>
  <c r="G660" i="1"/>
  <c r="G659" i="1" s="1"/>
  <c r="I686" i="1"/>
  <c r="G697" i="1"/>
  <c r="G696" i="1" s="1"/>
  <c r="I706" i="1"/>
  <c r="I724" i="1"/>
  <c r="I762" i="1"/>
  <c r="I785" i="1"/>
  <c r="I802" i="1"/>
  <c r="G865" i="1"/>
  <c r="G864" i="1" s="1"/>
  <c r="G863" i="1" s="1"/>
  <c r="G862" i="1" s="1"/>
  <c r="G861" i="1" s="1"/>
  <c r="G161" i="1"/>
  <c r="I154" i="1"/>
  <c r="I138" i="1"/>
  <c r="I136" i="1"/>
  <c r="H133" i="1"/>
  <c r="H132" i="1" s="1"/>
  <c r="H131" i="1" s="1"/>
  <c r="H130" i="1" s="1"/>
  <c r="I134" i="1"/>
  <c r="I140" i="1"/>
  <c r="G133" i="1"/>
  <c r="I126" i="1"/>
  <c r="G125" i="1"/>
  <c r="I101" i="1"/>
  <c r="G95" i="1"/>
  <c r="G83" i="1"/>
  <c r="H77" i="1"/>
  <c r="I78" i="1"/>
  <c r="G59" i="1"/>
  <c r="I60" i="1"/>
  <c r="I55" i="1"/>
  <c r="G53" i="1"/>
  <c r="I53" i="1" s="1"/>
  <c r="I54" i="1"/>
  <c r="H36" i="1"/>
  <c r="H35" i="1" s="1"/>
  <c r="H27" i="1" s="1"/>
  <c r="H26" i="1" s="1"/>
  <c r="G36" i="1"/>
  <c r="G20" i="1"/>
  <c r="G19" i="1" s="1"/>
  <c r="I21" i="1"/>
  <c r="H20" i="1"/>
  <c r="H19" i="1" s="1"/>
  <c r="G29" i="1"/>
  <c r="I30" i="1"/>
  <c r="G224" i="1"/>
  <c r="G223" i="1"/>
  <c r="G879" i="1"/>
  <c r="G878" i="1" s="1"/>
  <c r="G880" i="1"/>
  <c r="G500" i="1"/>
  <c r="G499" i="1" s="1"/>
  <c r="G746" i="1"/>
  <c r="F272" i="1"/>
  <c r="G31" i="18" l="1"/>
  <c r="E30" i="18"/>
  <c r="E34" i="18"/>
  <c r="G34" i="18" s="1"/>
  <c r="G35" i="18"/>
  <c r="H25" i="1"/>
  <c r="I91" i="1"/>
  <c r="G807" i="1"/>
  <c r="G806" i="1" s="1"/>
  <c r="G805" i="1" s="1"/>
  <c r="G804" i="1" s="1"/>
  <c r="G803" i="1" s="1"/>
  <c r="E25" i="18"/>
  <c r="G27" i="18"/>
  <c r="G12" i="1"/>
  <c r="I819" i="1"/>
  <c r="H814" i="1"/>
  <c r="G798" i="1"/>
  <c r="G791" i="1" s="1"/>
  <c r="G779" i="1" s="1"/>
  <c r="G778" i="1" s="1"/>
  <c r="G777" i="1" s="1"/>
  <c r="G776" i="1" s="1"/>
  <c r="G646" i="1"/>
  <c r="G638" i="1" s="1"/>
  <c r="G637" i="1" s="1"/>
  <c r="I147" i="1"/>
  <c r="G877" i="1"/>
  <c r="G876" i="1" s="1"/>
  <c r="I240" i="1"/>
  <c r="G522" i="1"/>
  <c r="G521" i="1" s="1"/>
  <c r="G520" i="1" s="1"/>
  <c r="G491" i="1" s="1"/>
  <c r="I579" i="1"/>
  <c r="I191" i="1"/>
  <c r="G453" i="1"/>
  <c r="G452" i="1" s="1"/>
  <c r="I402" i="1"/>
  <c r="H401" i="1"/>
  <c r="I401" i="1" s="1"/>
  <c r="H414" i="1"/>
  <c r="I414" i="1" s="1"/>
  <c r="I150" i="1"/>
  <c r="G745" i="1"/>
  <c r="I761" i="1"/>
  <c r="H479" i="1"/>
  <c r="I479" i="1" s="1"/>
  <c r="H203" i="1"/>
  <c r="H202" i="1" s="1"/>
  <c r="I202" i="1" s="1"/>
  <c r="H336" i="1"/>
  <c r="I59" i="1"/>
  <c r="G691" i="1"/>
  <c r="G690" i="1" s="1"/>
  <c r="G689" i="1" s="1"/>
  <c r="G688" i="1" s="1"/>
  <c r="I464" i="1"/>
  <c r="I465" i="1"/>
  <c r="G312" i="1"/>
  <c r="G568" i="1"/>
  <c r="G58" i="1"/>
  <c r="I58" i="1" s="1"/>
  <c r="I447" i="1"/>
  <c r="H293" i="1"/>
  <c r="I293" i="1" s="1"/>
  <c r="I808" i="1"/>
  <c r="G266" i="1"/>
  <c r="G265" i="1" s="1"/>
  <c r="H551" i="1"/>
  <c r="H550" i="1" s="1"/>
  <c r="G232" i="1"/>
  <c r="G231" i="1" s="1"/>
  <c r="G230" i="1" s="1"/>
  <c r="G328" i="1"/>
  <c r="G375" i="1"/>
  <c r="G368" i="1" s="1"/>
  <c r="G367" i="1" s="1"/>
  <c r="G366" i="1" s="1"/>
  <c r="H569" i="1"/>
  <c r="I569" i="1" s="1"/>
  <c r="I660" i="1"/>
  <c r="I169" i="1"/>
  <c r="G185" i="1"/>
  <c r="G184" i="1" s="1"/>
  <c r="H315" i="1"/>
  <c r="I315" i="1" s="1"/>
  <c r="I570" i="1"/>
  <c r="I659" i="1"/>
  <c r="H168" i="1"/>
  <c r="H167" i="1" s="1"/>
  <c r="I346" i="1"/>
  <c r="H882" i="1"/>
  <c r="I883" i="1"/>
  <c r="H849" i="1"/>
  <c r="I850" i="1"/>
  <c r="H233" i="1"/>
  <c r="H179" i="1"/>
  <c r="I179" i="1" s="1"/>
  <c r="I180" i="1"/>
  <c r="H267" i="1"/>
  <c r="I268" i="1"/>
  <c r="H841" i="1"/>
  <c r="I842" i="1"/>
  <c r="H670" i="1"/>
  <c r="I670" i="1" s="1"/>
  <c r="I671" i="1"/>
  <c r="H219" i="1"/>
  <c r="I219" i="1" s="1"/>
  <c r="I220" i="1"/>
  <c r="I89" i="1"/>
  <c r="H88" i="1"/>
  <c r="I305" i="1"/>
  <c r="H692" i="1"/>
  <c r="I693" i="1"/>
  <c r="H496" i="1"/>
  <c r="I497" i="1"/>
  <c r="H891" i="1"/>
  <c r="I892" i="1"/>
  <c r="H754" i="1"/>
  <c r="I755" i="1"/>
  <c r="H676" i="1"/>
  <c r="I676" i="1" s="1"/>
  <c r="I677" i="1"/>
  <c r="H507" i="1"/>
  <c r="H506" i="1" s="1"/>
  <c r="H331" i="1"/>
  <c r="I332" i="1"/>
  <c r="H858" i="1"/>
  <c r="I859" i="1"/>
  <c r="H750" i="1"/>
  <c r="I751" i="1"/>
  <c r="H704" i="1"/>
  <c r="I704" i="1" s="1"/>
  <c r="I705" i="1"/>
  <c r="H631" i="1"/>
  <c r="I632" i="1"/>
  <c r="H486" i="1"/>
  <c r="I487" i="1"/>
  <c r="H445" i="1"/>
  <c r="I446" i="1"/>
  <c r="H625" i="1"/>
  <c r="I626" i="1"/>
  <c r="H226" i="1"/>
  <c r="I227" i="1"/>
  <c r="H562" i="1"/>
  <c r="I562" i="1" s="1"/>
  <c r="I563" i="1"/>
  <c r="I526" i="1"/>
  <c r="H523" i="1"/>
  <c r="H522" i="1" s="1"/>
  <c r="H865" i="1"/>
  <c r="I868" i="1"/>
  <c r="H100" i="1"/>
  <c r="H99" i="1" s="1"/>
  <c r="H613" i="1"/>
  <c r="I613" i="1" s="1"/>
  <c r="I614" i="1"/>
  <c r="H886" i="1"/>
  <c r="I886" i="1" s="1"/>
  <c r="I887" i="1"/>
  <c r="I815" i="1"/>
  <c r="I362" i="1"/>
  <c r="I461" i="1"/>
  <c r="H278" i="1"/>
  <c r="I279" i="1"/>
  <c r="H187" i="1"/>
  <c r="I188" i="1"/>
  <c r="H641" i="1"/>
  <c r="I642" i="1"/>
  <c r="H258" i="1"/>
  <c r="I258" i="1" s="1"/>
  <c r="I259" i="1"/>
  <c r="H896" i="1"/>
  <c r="I897" i="1"/>
  <c r="H780" i="1"/>
  <c r="I781" i="1"/>
  <c r="H714" i="1"/>
  <c r="I715" i="1"/>
  <c r="H618" i="1"/>
  <c r="I618" i="1" s="1"/>
  <c r="I619" i="1"/>
  <c r="H533" i="1"/>
  <c r="I534" i="1"/>
  <c r="H350" i="1"/>
  <c r="I350" i="1" s="1"/>
  <c r="I351" i="1"/>
  <c r="I70" i="1"/>
  <c r="H69" i="1"/>
  <c r="I606" i="1"/>
  <c r="H791" i="1"/>
  <c r="H767" i="1"/>
  <c r="H766" i="1" s="1"/>
  <c r="I768" i="1"/>
  <c r="H647" i="1"/>
  <c r="I648" i="1"/>
  <c r="H501" i="1"/>
  <c r="I502" i="1"/>
  <c r="H426" i="1"/>
  <c r="I426" i="1" s="1"/>
  <c r="I427" i="1"/>
  <c r="H16" i="1"/>
  <c r="I17" i="1"/>
  <c r="H806" i="1"/>
  <c r="I807" i="1"/>
  <c r="H788" i="1"/>
  <c r="I788" i="1" s="1"/>
  <c r="I789" i="1"/>
  <c r="I203" i="1"/>
  <c r="H376" i="1"/>
  <c r="H722" i="1"/>
  <c r="H697" i="1"/>
  <c r="G160" i="1"/>
  <c r="I161" i="1"/>
  <c r="G145" i="1"/>
  <c r="I146" i="1"/>
  <c r="I133" i="1"/>
  <c r="G132" i="1"/>
  <c r="I132" i="1" s="1"/>
  <c r="G124" i="1"/>
  <c r="I125" i="1"/>
  <c r="G99" i="1"/>
  <c r="G94" i="1"/>
  <c r="I95" i="1"/>
  <c r="G82" i="1"/>
  <c r="I82" i="1" s="1"/>
  <c r="I83" i="1"/>
  <c r="H76" i="1"/>
  <c r="I77" i="1"/>
  <c r="G35" i="1"/>
  <c r="I35" i="1" s="1"/>
  <c r="I36" i="1"/>
  <c r="I19" i="1"/>
  <c r="I20" i="1"/>
  <c r="I29" i="1"/>
  <c r="G28" i="1"/>
  <c r="D224" i="2"/>
  <c r="G775" i="1" l="1"/>
  <c r="E13" i="18"/>
  <c r="H34" i="18"/>
  <c r="E14" i="18"/>
  <c r="H32" i="18"/>
  <c r="G30" i="18"/>
  <c r="H30" i="18"/>
  <c r="H15" i="18"/>
  <c r="G736" i="1"/>
  <c r="G25" i="18"/>
  <c r="H25" i="18"/>
  <c r="I791" i="1"/>
  <c r="H779" i="1"/>
  <c r="I798" i="1"/>
  <c r="H646" i="1"/>
  <c r="G567" i="1"/>
  <c r="G566" i="1" s="1"/>
  <c r="G546" i="1" s="1"/>
  <c r="G537" i="1" s="1"/>
  <c r="H478" i="1"/>
  <c r="H760" i="1"/>
  <c r="H759" i="1" s="1"/>
  <c r="I551" i="1"/>
  <c r="G311" i="1"/>
  <c r="H314" i="1"/>
  <c r="H313" i="1" s="1"/>
  <c r="H292" i="1"/>
  <c r="I292" i="1" s="1"/>
  <c r="G183" i="1"/>
  <c r="I168" i="1"/>
  <c r="H225" i="1"/>
  <c r="I226" i="1"/>
  <c r="I506" i="1"/>
  <c r="I507" i="1"/>
  <c r="H335" i="1"/>
  <c r="I335" i="1" s="1"/>
  <c r="I336" i="1"/>
  <c r="H375" i="1"/>
  <c r="I376" i="1"/>
  <c r="H713" i="1"/>
  <c r="I714" i="1"/>
  <c r="H640" i="1"/>
  <c r="H639" i="1" s="1"/>
  <c r="I641" i="1"/>
  <c r="H355" i="1"/>
  <c r="I355" i="1" s="1"/>
  <c r="I356" i="1"/>
  <c r="H159" i="1"/>
  <c r="H158" i="1" s="1"/>
  <c r="H157" i="1" s="1"/>
  <c r="H129" i="1" s="1"/>
  <c r="I167" i="1"/>
  <c r="H15" i="1"/>
  <c r="I16" i="1"/>
  <c r="H500" i="1"/>
  <c r="I501" i="1"/>
  <c r="I767" i="1"/>
  <c r="I780" i="1"/>
  <c r="H186" i="1"/>
  <c r="H185" i="1" s="1"/>
  <c r="I187" i="1"/>
  <c r="H456" i="1"/>
  <c r="I457" i="1"/>
  <c r="H87" i="1"/>
  <c r="I87" i="1" s="1"/>
  <c r="I88" i="1"/>
  <c r="H848" i="1"/>
  <c r="I849" i="1"/>
  <c r="H549" i="1"/>
  <c r="I550" i="1"/>
  <c r="I99" i="1"/>
  <c r="H605" i="1"/>
  <c r="H624" i="1"/>
  <c r="I624" i="1" s="1"/>
  <c r="I625" i="1"/>
  <c r="H485" i="1"/>
  <c r="I486" i="1"/>
  <c r="H857" i="1"/>
  <c r="I858" i="1"/>
  <c r="H753" i="1"/>
  <c r="I753" i="1" s="1"/>
  <c r="I754" i="1"/>
  <c r="H495" i="1"/>
  <c r="I496" i="1"/>
  <c r="H303" i="1"/>
  <c r="I303" i="1" s="1"/>
  <c r="I304" i="1"/>
  <c r="H840" i="1"/>
  <c r="I841" i="1"/>
  <c r="H721" i="1"/>
  <c r="I722" i="1"/>
  <c r="H805" i="1"/>
  <c r="I806" i="1"/>
  <c r="I647" i="1"/>
  <c r="H532" i="1"/>
  <c r="I533" i="1"/>
  <c r="H895" i="1"/>
  <c r="I895" i="1" s="1"/>
  <c r="I896" i="1"/>
  <c r="H277" i="1"/>
  <c r="I277" i="1" s="1"/>
  <c r="I278" i="1"/>
  <c r="H813" i="1"/>
  <c r="I814" i="1"/>
  <c r="I523" i="1"/>
  <c r="H881" i="1"/>
  <c r="I882" i="1"/>
  <c r="H696" i="1"/>
  <c r="I696" i="1" s="1"/>
  <c r="I697" i="1"/>
  <c r="H68" i="1"/>
  <c r="I69" i="1"/>
  <c r="H864" i="1"/>
  <c r="I865" i="1"/>
  <c r="I478" i="1"/>
  <c r="H474" i="1"/>
  <c r="H444" i="1"/>
  <c r="I445" i="1"/>
  <c r="H630" i="1"/>
  <c r="I631" i="1"/>
  <c r="H749" i="1"/>
  <c r="I750" i="1"/>
  <c r="I331" i="1"/>
  <c r="H890" i="1"/>
  <c r="I890" i="1" s="1"/>
  <c r="I891" i="1"/>
  <c r="I692" i="1"/>
  <c r="I267" i="1"/>
  <c r="H232" i="1"/>
  <c r="I233" i="1"/>
  <c r="I100" i="1"/>
  <c r="I160" i="1"/>
  <c r="G159" i="1"/>
  <c r="G158" i="1" s="1"/>
  <c r="G144" i="1"/>
  <c r="I144" i="1" s="1"/>
  <c r="I145" i="1"/>
  <c r="G131" i="1"/>
  <c r="G130" i="1" s="1"/>
  <c r="G123" i="1"/>
  <c r="I124" i="1"/>
  <c r="I94" i="1"/>
  <c r="G93" i="1"/>
  <c r="I93" i="1" s="1"/>
  <c r="G75" i="1"/>
  <c r="I76" i="1"/>
  <c r="G27" i="1"/>
  <c r="I28" i="1"/>
  <c r="H75" i="1" l="1"/>
  <c r="H638" i="1"/>
  <c r="I314" i="1"/>
  <c r="I760" i="1"/>
  <c r="H330" i="1"/>
  <c r="H329" i="1" s="1"/>
  <c r="H748" i="1"/>
  <c r="I749" i="1"/>
  <c r="H499" i="1"/>
  <c r="I499" i="1" s="1"/>
  <c r="I500" i="1"/>
  <c r="H231" i="1"/>
  <c r="I232" i="1"/>
  <c r="H629" i="1"/>
  <c r="I630" i="1"/>
  <c r="I68" i="1"/>
  <c r="H67" i="1"/>
  <c r="H758" i="1"/>
  <c r="I759" i="1"/>
  <c r="H521" i="1"/>
  <c r="I522" i="1"/>
  <c r="H531" i="1"/>
  <c r="I531" i="1" s="1"/>
  <c r="I532" i="1"/>
  <c r="I805" i="1"/>
  <c r="H839" i="1"/>
  <c r="I840" i="1"/>
  <c r="H494" i="1"/>
  <c r="I495" i="1"/>
  <c r="H856" i="1"/>
  <c r="I857" i="1"/>
  <c r="H847" i="1"/>
  <c r="I848" i="1"/>
  <c r="I186" i="1"/>
  <c r="H765" i="1"/>
  <c r="I766" i="1"/>
  <c r="H14" i="1"/>
  <c r="I15" i="1"/>
  <c r="H712" i="1"/>
  <c r="I713" i="1"/>
  <c r="I225" i="1"/>
  <c r="H224" i="1"/>
  <c r="I224" i="1" s="1"/>
  <c r="H223" i="1"/>
  <c r="I223" i="1" s="1"/>
  <c r="H691" i="1"/>
  <c r="H473" i="1"/>
  <c r="I474" i="1"/>
  <c r="H312" i="1"/>
  <c r="I313" i="1"/>
  <c r="I605" i="1"/>
  <c r="H568" i="1"/>
  <c r="H567" i="1" s="1"/>
  <c r="H443" i="1"/>
  <c r="I444" i="1"/>
  <c r="H863" i="1"/>
  <c r="I864" i="1"/>
  <c r="I881" i="1"/>
  <c r="H879" i="1"/>
  <c r="H880" i="1"/>
  <c r="I880" i="1" s="1"/>
  <c r="H812" i="1"/>
  <c r="I812" i="1" s="1"/>
  <c r="I813" i="1"/>
  <c r="H720" i="1"/>
  <c r="I721" i="1"/>
  <c r="H484" i="1"/>
  <c r="I484" i="1" s="1"/>
  <c r="I485" i="1"/>
  <c r="H548" i="1"/>
  <c r="I549" i="1"/>
  <c r="H455" i="1"/>
  <c r="I456" i="1"/>
  <c r="I639" i="1"/>
  <c r="I640" i="1"/>
  <c r="H368" i="1"/>
  <c r="I375" i="1"/>
  <c r="I646" i="1"/>
  <c r="H778" i="1"/>
  <c r="I779" i="1"/>
  <c r="H266" i="1"/>
  <c r="I159" i="1"/>
  <c r="I131" i="1"/>
  <c r="I130" i="1"/>
  <c r="G122" i="1"/>
  <c r="I123" i="1"/>
  <c r="G74" i="1"/>
  <c r="G73" i="1" s="1"/>
  <c r="H74" i="1"/>
  <c r="I75" i="1"/>
  <c r="G26" i="1"/>
  <c r="I27" i="1"/>
  <c r="F888" i="1"/>
  <c r="F887" i="1" s="1"/>
  <c r="F886" i="1" s="1"/>
  <c r="F835" i="1"/>
  <c r="F834" i="1" s="1"/>
  <c r="F833" i="1" s="1"/>
  <c r="F686" i="1"/>
  <c r="F685" i="1" s="1"/>
  <c r="F684" i="1" s="1"/>
  <c r="F62" i="1"/>
  <c r="F21" i="1"/>
  <c r="F20" i="1" s="1"/>
  <c r="D618" i="2"/>
  <c r="I330" i="1" l="1"/>
  <c r="H637" i="1"/>
  <c r="I637" i="1" s="1"/>
  <c r="H367" i="1"/>
  <c r="I368" i="1"/>
  <c r="H454" i="1"/>
  <c r="I455" i="1"/>
  <c r="H862" i="1"/>
  <c r="I863" i="1"/>
  <c r="H472" i="1"/>
  <c r="I473" i="1"/>
  <c r="H711" i="1"/>
  <c r="I711" i="1" s="1"/>
  <c r="I712" i="1"/>
  <c r="H764" i="1"/>
  <c r="I764" i="1" s="1"/>
  <c r="I765" i="1"/>
  <c r="H846" i="1"/>
  <c r="I846" i="1" s="1"/>
  <c r="I847" i="1"/>
  <c r="H493" i="1"/>
  <c r="I494" i="1"/>
  <c r="H520" i="1"/>
  <c r="I520" i="1" s="1"/>
  <c r="I521" i="1"/>
  <c r="H230" i="1"/>
  <c r="I230" i="1" s="1"/>
  <c r="I231" i="1"/>
  <c r="H747" i="1"/>
  <c r="I748" i="1"/>
  <c r="H804" i="1"/>
  <c r="H690" i="1"/>
  <c r="I691" i="1"/>
  <c r="H66" i="1"/>
  <c r="I66" i="1" s="1"/>
  <c r="I67" i="1"/>
  <c r="H328" i="1"/>
  <c r="I328" i="1" s="1"/>
  <c r="I329" i="1"/>
  <c r="H838" i="1"/>
  <c r="I839" i="1"/>
  <c r="H628" i="1"/>
  <c r="I628" i="1" s="1"/>
  <c r="I629" i="1"/>
  <c r="H777" i="1"/>
  <c r="I778" i="1"/>
  <c r="I568" i="1"/>
  <c r="H442" i="1"/>
  <c r="I442" i="1" s="1"/>
  <c r="I443" i="1"/>
  <c r="I312" i="1"/>
  <c r="H13" i="1"/>
  <c r="I14" i="1"/>
  <c r="H184" i="1"/>
  <c r="I184" i="1" s="1"/>
  <c r="I185" i="1"/>
  <c r="H855" i="1"/>
  <c r="I856" i="1"/>
  <c r="H757" i="1"/>
  <c r="I758" i="1"/>
  <c r="H265" i="1"/>
  <c r="I266" i="1"/>
  <c r="H547" i="1"/>
  <c r="I548" i="1"/>
  <c r="H719" i="1"/>
  <c r="I720" i="1"/>
  <c r="H878" i="1"/>
  <c r="I879" i="1"/>
  <c r="G157" i="1"/>
  <c r="I158" i="1"/>
  <c r="G121" i="1"/>
  <c r="I122" i="1"/>
  <c r="H73" i="1"/>
  <c r="I74" i="1"/>
  <c r="G25" i="1"/>
  <c r="I26" i="1"/>
  <c r="F19" i="1"/>
  <c r="I638" i="1" l="1"/>
  <c r="I547" i="1"/>
  <c r="H746" i="1"/>
  <c r="I746" i="1" s="1"/>
  <c r="I747" i="1"/>
  <c r="H861" i="1"/>
  <c r="I861" i="1" s="1"/>
  <c r="I862" i="1"/>
  <c r="H366" i="1"/>
  <c r="I367" i="1"/>
  <c r="H183" i="1"/>
  <c r="I183" i="1" s="1"/>
  <c r="I265" i="1"/>
  <c r="I13" i="1"/>
  <c r="H12" i="1"/>
  <c r="I12" i="1" s="1"/>
  <c r="H776" i="1"/>
  <c r="I777" i="1"/>
  <c r="H837" i="1"/>
  <c r="I837" i="1" s="1"/>
  <c r="I838" i="1"/>
  <c r="H877" i="1"/>
  <c r="I878" i="1"/>
  <c r="H854" i="1"/>
  <c r="I855" i="1"/>
  <c r="H803" i="1"/>
  <c r="I803" i="1" s="1"/>
  <c r="I804" i="1"/>
  <c r="H492" i="1"/>
  <c r="I493" i="1"/>
  <c r="H471" i="1"/>
  <c r="I472" i="1"/>
  <c r="I454" i="1"/>
  <c r="H453" i="1"/>
  <c r="H718" i="1"/>
  <c r="I718" i="1" s="1"/>
  <c r="I719" i="1"/>
  <c r="H745" i="1"/>
  <c r="I757" i="1"/>
  <c r="H566" i="1"/>
  <c r="I566" i="1" s="1"/>
  <c r="I567" i="1"/>
  <c r="H689" i="1"/>
  <c r="I690" i="1"/>
  <c r="I157" i="1"/>
  <c r="G129" i="1"/>
  <c r="I129" i="1" s="1"/>
  <c r="G120" i="1"/>
  <c r="I120" i="1" s="1"/>
  <c r="I121" i="1"/>
  <c r="I73" i="1"/>
  <c r="I25" i="1"/>
  <c r="G11" i="1"/>
  <c r="H11" i="1" l="1"/>
  <c r="I11" i="1" s="1"/>
  <c r="H546" i="1"/>
  <c r="H470" i="1"/>
  <c r="I470" i="1" s="1"/>
  <c r="I471" i="1"/>
  <c r="H876" i="1"/>
  <c r="I876" i="1" s="1"/>
  <c r="I877" i="1"/>
  <c r="H775" i="1"/>
  <c r="I776" i="1"/>
  <c r="H688" i="1"/>
  <c r="I688" i="1" s="1"/>
  <c r="I689" i="1"/>
  <c r="I745" i="1"/>
  <c r="I492" i="1"/>
  <c r="H491" i="1"/>
  <c r="I491" i="1" s="1"/>
  <c r="H853" i="1"/>
  <c r="I853" i="1" s="1"/>
  <c r="I854" i="1"/>
  <c r="I366" i="1"/>
  <c r="H311" i="1"/>
  <c r="I311" i="1" s="1"/>
  <c r="H452" i="1"/>
  <c r="I452" i="1" s="1"/>
  <c r="I453" i="1"/>
  <c r="G10" i="1"/>
  <c r="I775" i="1" l="1"/>
  <c r="H736" i="1"/>
  <c r="I736" i="1" s="1"/>
  <c r="I546" i="1"/>
  <c r="H537" i="1"/>
  <c r="I537" i="1" s="1"/>
  <c r="H10" i="1"/>
  <c r="G909" i="1"/>
  <c r="E621" i="2" l="1"/>
  <c r="C18" i="12"/>
  <c r="C17" i="12" s="1"/>
  <c r="C16" i="12" s="1"/>
  <c r="C15" i="12" s="1"/>
  <c r="C19" i="12" s="1"/>
  <c r="C10" i="12" s="1"/>
  <c r="C9" i="12" s="1"/>
  <c r="H909" i="1"/>
  <c r="D18" i="12" s="1"/>
  <c r="I10" i="1"/>
  <c r="E18" i="12" l="1"/>
  <c r="D17" i="12"/>
  <c r="I909" i="1"/>
  <c r="F621" i="2"/>
  <c r="F34" i="8"/>
  <c r="N34" i="8" s="1"/>
  <c r="F81" i="8"/>
  <c r="N81" i="8" s="1"/>
  <c r="F96" i="8"/>
  <c r="C96" i="8" l="1"/>
  <c r="N96" i="8"/>
  <c r="E17" i="12"/>
  <c r="D16" i="12"/>
  <c r="F66" i="8"/>
  <c r="C84" i="8"/>
  <c r="C83" i="8"/>
  <c r="C82" i="8"/>
  <c r="F359" i="1"/>
  <c r="F796" i="1"/>
  <c r="F792" i="1"/>
  <c r="D211" i="2"/>
  <c r="D276" i="2"/>
  <c r="D173" i="2"/>
  <c r="F93" i="8"/>
  <c r="N93" i="8" s="1"/>
  <c r="C85" i="8"/>
  <c r="D267" i="2"/>
  <c r="D278" i="2"/>
  <c r="C66" i="8" l="1"/>
  <c r="N66" i="8"/>
  <c r="E16" i="12"/>
  <c r="D15" i="12"/>
  <c r="F785" i="1"/>
  <c r="D240" i="2"/>
  <c r="E15" i="12" l="1"/>
  <c r="D19" i="12"/>
  <c r="D10" i="12" s="1"/>
  <c r="C89" i="8"/>
  <c r="F894" i="1"/>
  <c r="D599" i="2"/>
  <c r="F752" i="1"/>
  <c r="D248" i="2"/>
  <c r="F349" i="1"/>
  <c r="D445" i="2"/>
  <c r="D444" i="2" s="1"/>
  <c r="F106" i="1"/>
  <c r="F102" i="1"/>
  <c r="F509" i="1"/>
  <c r="D528" i="2"/>
  <c r="F392" i="1"/>
  <c r="D390" i="2"/>
  <c r="F860" i="1"/>
  <c r="D293" i="2"/>
  <c r="F790" i="1"/>
  <c r="D245" i="2"/>
  <c r="F782" i="1"/>
  <c r="D237" i="2"/>
  <c r="F462" i="1"/>
  <c r="D118" i="2"/>
  <c r="F611" i="1"/>
  <c r="E10" i="12" l="1"/>
  <c r="D9" i="12"/>
  <c r="E9" i="12" s="1"/>
  <c r="D527" i="2"/>
  <c r="D525" i="2" s="1"/>
  <c r="D130" i="2"/>
  <c r="D526" i="2" l="1"/>
  <c r="H97" i="8"/>
  <c r="I97" i="8"/>
  <c r="J97" i="8"/>
  <c r="K97" i="8"/>
  <c r="K94" i="8" s="1"/>
  <c r="D97" i="8"/>
  <c r="L97" i="8" s="1"/>
  <c r="E97" i="8"/>
  <c r="M97" i="8" s="1"/>
  <c r="F475" i="1"/>
  <c r="C32" i="8" l="1"/>
  <c r="C31" i="8" s="1"/>
  <c r="F235" i="1" l="1"/>
  <c r="F234" i="1" s="1"/>
  <c r="D454" i="2"/>
  <c r="D453" i="2" s="1"/>
  <c r="F756" i="1" l="1"/>
  <c r="F755" i="1" s="1"/>
  <c r="F754" i="1" s="1"/>
  <c r="F753" i="1" s="1"/>
  <c r="F627" i="1"/>
  <c r="F609" i="1"/>
  <c r="F607" i="1"/>
  <c r="D171" i="2"/>
  <c r="D169" i="2"/>
  <c r="D168" i="2" l="1"/>
  <c r="F606" i="1"/>
  <c r="F620" i="1" l="1"/>
  <c r="F619" i="1" s="1"/>
  <c r="F618" i="1" s="1"/>
  <c r="D123" i="2"/>
  <c r="D120" i="2" s="1"/>
  <c r="F508" i="1"/>
  <c r="F507" i="1" s="1"/>
  <c r="F506" i="1" s="1"/>
  <c r="D386" i="2"/>
  <c r="D339" i="2"/>
  <c r="D338" i="2" s="1"/>
  <c r="D280" i="2"/>
  <c r="D177" i="2"/>
  <c r="D176" i="2" s="1"/>
  <c r="D175" i="2" s="1"/>
  <c r="F626" i="1"/>
  <c r="F625" i="1" s="1"/>
  <c r="D589" i="2"/>
  <c r="J94" i="8"/>
  <c r="F97" i="8"/>
  <c r="N97" i="8" s="1"/>
  <c r="G97" i="8"/>
  <c r="C98" i="8"/>
  <c r="C97" i="8" s="1"/>
  <c r="F352" i="1"/>
  <c r="F351" i="1" s="1"/>
  <c r="F350" i="1" s="1"/>
  <c r="D448" i="2"/>
  <c r="D447" i="2" s="1"/>
  <c r="D446" i="2" s="1"/>
  <c r="F429" i="1"/>
  <c r="F428" i="1" s="1"/>
  <c r="F427" i="1" s="1"/>
  <c r="F481" i="1"/>
  <c r="F480" i="1" s="1"/>
  <c r="F479" i="1" s="1"/>
  <c r="F478" i="1" s="1"/>
  <c r="F474" i="1" s="1"/>
  <c r="F597" i="1"/>
  <c r="F594" i="1" s="1"/>
  <c r="F615" i="1"/>
  <c r="F614" i="1" s="1"/>
  <c r="F613" i="1" s="1"/>
  <c r="D185" i="2"/>
  <c r="D182" i="2" s="1"/>
  <c r="D181" i="2" s="1"/>
  <c r="D180" i="2" s="1"/>
  <c r="F816" i="1"/>
  <c r="F820" i="1"/>
  <c r="F823" i="1"/>
  <c r="F884" i="1"/>
  <c r="F363" i="1"/>
  <c r="F254" i="1"/>
  <c r="F253" i="1" s="1"/>
  <c r="F252" i="1" s="1"/>
  <c r="F263" i="1"/>
  <c r="F262" i="1" s="1"/>
  <c r="F407" i="1"/>
  <c r="F406" i="1" s="1"/>
  <c r="F403" i="1"/>
  <c r="F402" i="1" s="1"/>
  <c r="F288" i="1"/>
  <c r="F287" i="1" s="1"/>
  <c r="F31" i="1"/>
  <c r="D491" i="2"/>
  <c r="D490" i="2" s="1"/>
  <c r="D489" i="2" s="1"/>
  <c r="D473" i="2"/>
  <c r="D472" i="2" s="1"/>
  <c r="D471" i="2" s="1"/>
  <c r="F401" i="1" l="1"/>
  <c r="D613" i="2" l="1"/>
  <c r="D486" i="2"/>
  <c r="D485" i="2" s="1"/>
  <c r="D421" i="2" l="1"/>
  <c r="D420" i="2" s="1"/>
  <c r="D417" i="2"/>
  <c r="D416" i="2" s="1"/>
  <c r="D415" i="2" l="1"/>
  <c r="D251" i="2"/>
  <c r="D259" i="2"/>
  <c r="D256" i="2"/>
  <c r="D26" i="2" l="1"/>
  <c r="D614" i="2"/>
  <c r="F362" i="1" l="1"/>
  <c r="D612" i="2"/>
  <c r="F357" i="1"/>
  <c r="D610" i="2"/>
  <c r="F307" i="1"/>
  <c r="D572" i="2"/>
  <c r="F356" i="1" l="1"/>
  <c r="F355" i="1" s="1"/>
  <c r="F802" i="1"/>
  <c r="D275" i="2"/>
  <c r="F907" i="1" l="1"/>
  <c r="F905" i="1"/>
  <c r="F903" i="1"/>
  <c r="F901" i="1"/>
  <c r="F899" i="1"/>
  <c r="F898" i="1" s="1"/>
  <c r="F893" i="1"/>
  <c r="F892" i="1" s="1"/>
  <c r="F891" i="1" s="1"/>
  <c r="F890" i="1" s="1"/>
  <c r="F883" i="1"/>
  <c r="F882" i="1" s="1"/>
  <c r="F881" i="1" s="1"/>
  <c r="F874" i="1"/>
  <c r="F873" i="1" s="1"/>
  <c r="F871" i="1"/>
  <c r="F869" i="1"/>
  <c r="F868" i="1" s="1"/>
  <c r="F859" i="1"/>
  <c r="F858" i="1" s="1"/>
  <c r="F857" i="1" s="1"/>
  <c r="F856" i="1" s="1"/>
  <c r="F855" i="1" s="1"/>
  <c r="F854" i="1" s="1"/>
  <c r="F853" i="1" s="1"/>
  <c r="F851" i="1"/>
  <c r="F850" i="1" s="1"/>
  <c r="F849" i="1" s="1"/>
  <c r="F848" i="1" s="1"/>
  <c r="F847" i="1" s="1"/>
  <c r="F846" i="1" s="1"/>
  <c r="F843" i="1"/>
  <c r="F842" i="1" s="1"/>
  <c r="F841" i="1" s="1"/>
  <c r="F840" i="1" s="1"/>
  <c r="F839" i="1" s="1"/>
  <c r="F838" i="1" s="1"/>
  <c r="F837" i="1" s="1"/>
  <c r="F831" i="1"/>
  <c r="F830" i="1" s="1"/>
  <c r="F819" i="1"/>
  <c r="F817" i="1"/>
  <c r="F815" i="1"/>
  <c r="F809" i="1"/>
  <c r="F808" i="1" s="1"/>
  <c r="F807" i="1" s="1"/>
  <c r="F806" i="1" s="1"/>
  <c r="F805" i="1" s="1"/>
  <c r="F799" i="1"/>
  <c r="F798" i="1" s="1"/>
  <c r="F794" i="1"/>
  <c r="F789" i="1"/>
  <c r="F788" i="1" s="1"/>
  <c r="F784" i="1"/>
  <c r="F783" i="1" s="1"/>
  <c r="F781" i="1"/>
  <c r="F780" i="1" s="1"/>
  <c r="F769" i="1"/>
  <c r="F768" i="1" s="1"/>
  <c r="F767" i="1" s="1"/>
  <c r="F766" i="1" s="1"/>
  <c r="F765" i="1" s="1"/>
  <c r="F764" i="1" s="1"/>
  <c r="F762" i="1"/>
  <c r="F761" i="1" s="1"/>
  <c r="F751" i="1"/>
  <c r="F750" i="1" s="1"/>
  <c r="F749" i="1" s="1"/>
  <c r="F748" i="1" s="1"/>
  <c r="F747" i="1" s="1"/>
  <c r="F746" i="1" s="1"/>
  <c r="F729" i="1"/>
  <c r="F726" i="1"/>
  <c r="F725" i="1" s="1"/>
  <c r="F724" i="1"/>
  <c r="F723" i="1" s="1"/>
  <c r="F716" i="1"/>
  <c r="F715" i="1" s="1"/>
  <c r="F714" i="1" s="1"/>
  <c r="F713" i="1" s="1"/>
  <c r="F712" i="1" s="1"/>
  <c r="F711" i="1" s="1"/>
  <c r="F708" i="1"/>
  <c r="F706" i="1"/>
  <c r="F703" i="1"/>
  <c r="F702" i="1" s="1"/>
  <c r="F700" i="1"/>
  <c r="F698" i="1"/>
  <c r="F694" i="1"/>
  <c r="F693" i="1" s="1"/>
  <c r="F692" i="1" s="1"/>
  <c r="F678" i="1"/>
  <c r="F677" i="1" s="1"/>
  <c r="F676" i="1" s="1"/>
  <c r="F674" i="1"/>
  <c r="F672" i="1"/>
  <c r="F665" i="1"/>
  <c r="F663" i="1"/>
  <c r="F661" i="1"/>
  <c r="F657" i="1"/>
  <c r="F655" i="1"/>
  <c r="F653" i="1"/>
  <c r="F651" i="1"/>
  <c r="F649" i="1"/>
  <c r="F643" i="1"/>
  <c r="F642" i="1" s="1"/>
  <c r="F641" i="1" s="1"/>
  <c r="F640" i="1" s="1"/>
  <c r="F639" i="1" s="1"/>
  <c r="F635" i="1"/>
  <c r="F633" i="1"/>
  <c r="F603" i="1"/>
  <c r="F602" i="1" s="1"/>
  <c r="F601" i="1" s="1"/>
  <c r="F590" i="1"/>
  <c r="F586" i="1"/>
  <c r="F584" i="1"/>
  <c r="F580" i="1"/>
  <c r="F576" i="1"/>
  <c r="F575" i="1"/>
  <c r="F573" i="1"/>
  <c r="F571" i="1"/>
  <c r="F564" i="1"/>
  <c r="F563" i="1" s="1"/>
  <c r="F562" i="1" s="1"/>
  <c r="F559" i="1"/>
  <c r="F557" i="1"/>
  <c r="F554" i="1"/>
  <c r="F552" i="1"/>
  <c r="F535" i="1"/>
  <c r="F534" i="1" s="1"/>
  <c r="F533" i="1" s="1"/>
  <c r="F532" i="1" s="1"/>
  <c r="F531" i="1" s="1"/>
  <c r="F527" i="1"/>
  <c r="F526" i="1" s="1"/>
  <c r="F524" i="1"/>
  <c r="F503" i="1"/>
  <c r="F502" i="1" s="1"/>
  <c r="F501" i="1" s="1"/>
  <c r="F498" i="1"/>
  <c r="F497" i="1" s="1"/>
  <c r="F496" i="1" s="1"/>
  <c r="F495" i="1" s="1"/>
  <c r="F494" i="1" s="1"/>
  <c r="F493" i="1" s="1"/>
  <c r="F492" i="1" s="1"/>
  <c r="F489" i="1"/>
  <c r="F488" i="1" s="1"/>
  <c r="F487" i="1" s="1"/>
  <c r="F486" i="1" s="1"/>
  <c r="F485" i="1" s="1"/>
  <c r="F484" i="1" s="1"/>
  <c r="F476" i="1"/>
  <c r="F466" i="1"/>
  <c r="F465" i="1" s="1"/>
  <c r="F464" i="1" s="1"/>
  <c r="F461" i="1"/>
  <c r="F457" i="1" s="1"/>
  <c r="F456" i="1" s="1"/>
  <c r="F455" i="1" s="1"/>
  <c r="F454" i="1" s="1"/>
  <c r="F450" i="1"/>
  <c r="F448" i="1"/>
  <c r="F435" i="1"/>
  <c r="F434" i="1"/>
  <c r="F433" i="1" s="1"/>
  <c r="F426" i="1" s="1"/>
  <c r="F424" i="1"/>
  <c r="F423" i="1" s="1"/>
  <c r="F420" i="1"/>
  <c r="F419" i="1" s="1"/>
  <c r="F417" i="1"/>
  <c r="F415" i="1"/>
  <c r="F395" i="1"/>
  <c r="F394" i="1" s="1"/>
  <c r="F390" i="1"/>
  <c r="F385" i="1"/>
  <c r="F382" i="1"/>
  <c r="F378" i="1"/>
  <c r="F377" i="1" s="1"/>
  <c r="F371" i="1"/>
  <c r="F370" i="1"/>
  <c r="F369" i="1" s="1"/>
  <c r="F348" i="1"/>
  <c r="F347" i="1"/>
  <c r="F346" i="1" s="1"/>
  <c r="F344" i="1"/>
  <c r="F342" i="1"/>
  <c r="F340" i="1"/>
  <c r="F337" i="1"/>
  <c r="F333" i="1"/>
  <c r="F332" i="1" s="1"/>
  <c r="F331" i="1" s="1"/>
  <c r="F325" i="1"/>
  <c r="F324" i="1" s="1"/>
  <c r="F322" i="1"/>
  <c r="F320" i="1"/>
  <c r="F318" i="1"/>
  <c r="F316" i="1"/>
  <c r="F305" i="1"/>
  <c r="F304" i="1" s="1"/>
  <c r="F303" i="1" s="1"/>
  <c r="F301" i="1"/>
  <c r="F300" i="1" s="1"/>
  <c r="F297" i="1"/>
  <c r="F296" i="1" s="1"/>
  <c r="F294" i="1"/>
  <c r="F285" i="1"/>
  <c r="F284" i="1" s="1"/>
  <c r="F282" i="1"/>
  <c r="F280" i="1"/>
  <c r="F275" i="1"/>
  <c r="F274" i="1" s="1"/>
  <c r="F269" i="1"/>
  <c r="F268" i="1" s="1"/>
  <c r="F260" i="1"/>
  <c r="F259" i="1" s="1"/>
  <c r="F258" i="1" s="1"/>
  <c r="F250" i="1"/>
  <c r="F249" i="1" s="1"/>
  <c r="F246" i="1"/>
  <c r="F245" i="1" s="1"/>
  <c r="F242" i="1"/>
  <c r="F241" i="1"/>
  <c r="F238" i="1"/>
  <c r="F237" i="1" s="1"/>
  <c r="F228" i="1"/>
  <c r="F227" i="1" s="1"/>
  <c r="F226" i="1" s="1"/>
  <c r="F225" i="1" s="1"/>
  <c r="F221" i="1"/>
  <c r="F220" i="1" s="1"/>
  <c r="F219" i="1" s="1"/>
  <c r="F205" i="1"/>
  <c r="F204" i="1" s="1"/>
  <c r="F203" i="1" s="1"/>
  <c r="F202" i="1" s="1"/>
  <c r="F198" i="1"/>
  <c r="F196" i="1"/>
  <c r="F194" i="1"/>
  <c r="F192" i="1"/>
  <c r="F189" i="1"/>
  <c r="F188" i="1" s="1"/>
  <c r="F181" i="1"/>
  <c r="F180" i="1" s="1"/>
  <c r="F179" i="1" s="1"/>
  <c r="F177" i="1"/>
  <c r="F173" i="1"/>
  <c r="F170" i="1"/>
  <c r="F164" i="1"/>
  <c r="F162" i="1"/>
  <c r="F154" i="1"/>
  <c r="F152" i="1"/>
  <c r="F148" i="1"/>
  <c r="F140" i="1"/>
  <c r="F138" i="1"/>
  <c r="F136" i="1"/>
  <c r="F134" i="1"/>
  <c r="F128" i="1"/>
  <c r="F126" i="1" s="1"/>
  <c r="F125" i="1" s="1"/>
  <c r="F124" i="1" s="1"/>
  <c r="F123" i="1" s="1"/>
  <c r="F122" i="1" s="1"/>
  <c r="F121" i="1" s="1"/>
  <c r="F120" i="1" s="1"/>
  <c r="F115" i="1"/>
  <c r="F113" i="1"/>
  <c r="F111" i="1"/>
  <c r="F109" i="1"/>
  <c r="F107" i="1"/>
  <c r="F105" i="1"/>
  <c r="F101" i="1"/>
  <c r="F96" i="1"/>
  <c r="F95" i="1" s="1"/>
  <c r="F94" i="1" s="1"/>
  <c r="F93" i="1" s="1"/>
  <c r="F92" i="1"/>
  <c r="F91" i="1" s="1"/>
  <c r="F90" i="1"/>
  <c r="F84" i="1"/>
  <c r="F83" i="1" s="1"/>
  <c r="F82" i="1" s="1"/>
  <c r="F80" i="1"/>
  <c r="F78" i="1"/>
  <c r="F71" i="1"/>
  <c r="F70" i="1" s="1"/>
  <c r="F69" i="1" s="1"/>
  <c r="F68" i="1" s="1"/>
  <c r="F67" i="1" s="1"/>
  <c r="F66" i="1" s="1"/>
  <c r="F60" i="1"/>
  <c r="F55" i="1"/>
  <c r="F54" i="1" s="1"/>
  <c r="F53" i="1" s="1"/>
  <c r="F51" i="1"/>
  <c r="F48" i="1"/>
  <c r="F45" i="1"/>
  <c r="F43" i="1"/>
  <c r="F40" i="1"/>
  <c r="F37" i="1"/>
  <c r="F32" i="1"/>
  <c r="F18" i="1"/>
  <c r="F17" i="1" s="1"/>
  <c r="F16" i="1" s="1"/>
  <c r="F15" i="1" s="1"/>
  <c r="F14" i="1" s="1"/>
  <c r="F13" i="1" s="1"/>
  <c r="F12" i="1" s="1"/>
  <c r="D592" i="2"/>
  <c r="D608" i="2"/>
  <c r="D606" i="2"/>
  <c r="D604" i="2"/>
  <c r="D602" i="2"/>
  <c r="D600" i="2"/>
  <c r="D598" i="2"/>
  <c r="D596" i="2"/>
  <c r="D594" i="2"/>
  <c r="D585" i="2"/>
  <c r="D583" i="2"/>
  <c r="D582" i="2"/>
  <c r="D581" i="2" s="1"/>
  <c r="D579" i="2"/>
  <c r="D577" i="2"/>
  <c r="D575" i="2"/>
  <c r="D574" i="2" s="1"/>
  <c r="D570" i="2"/>
  <c r="D567" i="2"/>
  <c r="D565" i="2"/>
  <c r="D564" i="2" s="1"/>
  <c r="D562" i="2"/>
  <c r="D558" i="2"/>
  <c r="D557" i="2" s="1"/>
  <c r="D544" i="2"/>
  <c r="D543" i="2" s="1"/>
  <c r="D541" i="2"/>
  <c r="D523" i="2"/>
  <c r="D522" i="2" s="1"/>
  <c r="D519" i="2"/>
  <c r="D517" i="2"/>
  <c r="D513" i="2"/>
  <c r="D508" i="2"/>
  <c r="D506" i="2"/>
  <c r="D504" i="2"/>
  <c r="D502" i="2"/>
  <c r="D497" i="2"/>
  <c r="D496" i="2" s="1"/>
  <c r="D495" i="2" s="1"/>
  <c r="D488" i="2" s="1"/>
  <c r="D483" i="2"/>
  <c r="D482" i="2" s="1"/>
  <c r="D481" i="2" s="1"/>
  <c r="D479" i="2"/>
  <c r="D478" i="2" s="1"/>
  <c r="D477" i="2" s="1"/>
  <c r="D469" i="2"/>
  <c r="D468" i="2" s="1"/>
  <c r="D465" i="2"/>
  <c r="D464" i="2" s="1"/>
  <c r="D461" i="2"/>
  <c r="D460" i="2" s="1"/>
  <c r="D457" i="2"/>
  <c r="D456" i="2" s="1"/>
  <c r="D442" i="2"/>
  <c r="D441" i="2" s="1"/>
  <c r="D439" i="2"/>
  <c r="D437" i="2"/>
  <c r="D435" i="2"/>
  <c r="D433" i="2"/>
  <c r="D430" i="2"/>
  <c r="D413" i="2"/>
  <c r="D412" i="2" s="1"/>
  <c r="D411" i="2"/>
  <c r="D410" i="2" s="1"/>
  <c r="D409" i="2" s="1"/>
  <c r="D406" i="2"/>
  <c r="D405" i="2" s="1"/>
  <c r="D403" i="2"/>
  <c r="D401" i="2"/>
  <c r="D399" i="2"/>
  <c r="D397" i="2"/>
  <c r="D395" i="2"/>
  <c r="D393" i="2"/>
  <c r="D383" i="2"/>
  <c r="D382" i="2" s="1"/>
  <c r="D388" i="2"/>
  <c r="D376" i="2"/>
  <c r="D373" i="2"/>
  <c r="D369" i="2"/>
  <c r="D368" i="2" s="1"/>
  <c r="D362" i="2"/>
  <c r="D361" i="2" s="1"/>
  <c r="D360" i="2" s="1"/>
  <c r="D359" i="2" s="1"/>
  <c r="D354" i="2"/>
  <c r="D352" i="2"/>
  <c r="D350" i="2"/>
  <c r="D348" i="2"/>
  <c r="D345" i="2"/>
  <c r="D344" i="2" s="1"/>
  <c r="D336" i="2"/>
  <c r="D335" i="2" s="1"/>
  <c r="D333" i="2"/>
  <c r="D331" i="2"/>
  <c r="D326" i="2"/>
  <c r="D320" i="2"/>
  <c r="D319" i="2" s="1"/>
  <c r="D314" i="2"/>
  <c r="D312" i="2"/>
  <c r="D302" i="2"/>
  <c r="D299" i="2"/>
  <c r="D298" i="2" s="1"/>
  <c r="D297" i="2"/>
  <c r="D296" i="2" s="1"/>
  <c r="D292" i="2"/>
  <c r="D291" i="2" s="1"/>
  <c r="D290" i="2" s="1"/>
  <c r="D288" i="2"/>
  <c r="D287" i="2" s="1"/>
  <c r="D272" i="2"/>
  <c r="D271" i="2" s="1"/>
  <c r="D269" i="2"/>
  <c r="D264" i="2"/>
  <c r="D263" i="2" s="1"/>
  <c r="D254" i="2"/>
  <c r="D252" i="2"/>
  <c r="D250" i="2"/>
  <c r="D247" i="2"/>
  <c r="D246" i="2" s="1"/>
  <c r="D244" i="2"/>
  <c r="D243" i="2" s="1"/>
  <c r="D242" i="2"/>
  <c r="D241" i="2" s="1"/>
  <c r="D239" i="2"/>
  <c r="D236" i="2"/>
  <c r="D235" i="2" s="1"/>
  <c r="D231" i="2"/>
  <c r="D230" i="2" s="1"/>
  <c r="D227" i="2"/>
  <c r="D226" i="2" s="1"/>
  <c r="D222" i="2"/>
  <c r="D220" i="2"/>
  <c r="D216" i="2"/>
  <c r="D214" i="2"/>
  <c r="D206" i="2"/>
  <c r="D204" i="2"/>
  <c r="D199" i="2"/>
  <c r="D198" i="2" s="1"/>
  <c r="D196" i="2"/>
  <c r="D188" i="2"/>
  <c r="D187" i="2" s="1"/>
  <c r="D186" i="2" s="1"/>
  <c r="D164" i="2"/>
  <c r="D161" i="2"/>
  <c r="D158" i="2"/>
  <c r="D156" i="2"/>
  <c r="D149" i="2"/>
  <c r="D147" i="2"/>
  <c r="D145" i="2"/>
  <c r="D141" i="2"/>
  <c r="D139" i="2"/>
  <c r="D137" i="2"/>
  <c r="D135" i="2"/>
  <c r="D133" i="2"/>
  <c r="D131" i="2"/>
  <c r="D117" i="2"/>
  <c r="D113" i="2" s="1"/>
  <c r="D111" i="2"/>
  <c r="D109" i="2"/>
  <c r="D105" i="2"/>
  <c r="D103" i="2"/>
  <c r="D101" i="2"/>
  <c r="D99" i="2"/>
  <c r="D98" i="2"/>
  <c r="D97" i="2" s="1"/>
  <c r="D95" i="2"/>
  <c r="D89" i="2"/>
  <c r="D88" i="2" s="1"/>
  <c r="D86" i="2"/>
  <c r="D84" i="2"/>
  <c r="D79" i="2"/>
  <c r="D78" i="2" s="1"/>
  <c r="D76" i="2"/>
  <c r="D74" i="2"/>
  <c r="D72" i="2"/>
  <c r="D69" i="2"/>
  <c r="D67" i="2"/>
  <c r="D63" i="2"/>
  <c r="D62" i="2" s="1"/>
  <c r="D61" i="2"/>
  <c r="D60" i="2" s="1"/>
  <c r="D57" i="2"/>
  <c r="D55" i="2" s="1"/>
  <c r="D52" i="2"/>
  <c r="D50" i="2"/>
  <c r="D48" i="2"/>
  <c r="D45" i="2"/>
  <c r="D42" i="2"/>
  <c r="D40" i="2"/>
  <c r="D37" i="2"/>
  <c r="D34" i="2"/>
  <c r="D31" i="2"/>
  <c r="D30" i="2" s="1"/>
  <c r="D27" i="2"/>
  <c r="D25" i="2" s="1"/>
  <c r="D24" i="2"/>
  <c r="D23" i="2" s="1"/>
  <c r="D19" i="2"/>
  <c r="D17" i="2"/>
  <c r="D13" i="2"/>
  <c r="F89" i="1" l="1"/>
  <c r="D20" i="18"/>
  <c r="F579" i="1"/>
  <c r="D203" i="2"/>
  <c r="D210" i="2"/>
  <c r="D209" i="2" s="1"/>
  <c r="F414" i="1"/>
  <c r="F336" i="1"/>
  <c r="F335" i="1" s="1"/>
  <c r="F330" i="1" s="1"/>
  <c r="F329" i="1" s="1"/>
  <c r="F328" i="1" s="1"/>
  <c r="D569" i="2"/>
  <c r="F59" i="1"/>
  <c r="F58" i="1" s="1"/>
  <c r="F791" i="1"/>
  <c r="F779" i="1" s="1"/>
  <c r="D266" i="2"/>
  <c r="F30" i="1"/>
  <c r="F29" i="1" s="1"/>
  <c r="F28" i="1" s="1"/>
  <c r="D367" i="2"/>
  <c r="F500" i="1"/>
  <c r="F499" i="1" s="1"/>
  <c r="F376" i="1"/>
  <c r="D429" i="2"/>
  <c r="D428" i="2" s="1"/>
  <c r="D392" i="2"/>
  <c r="D83" i="2"/>
  <c r="F814" i="1"/>
  <c r="F813" i="1" s="1"/>
  <c r="F812" i="1" s="1"/>
  <c r="F804" i="1" s="1"/>
  <c r="F803" i="1" s="1"/>
  <c r="F279" i="1"/>
  <c r="F278" i="1" s="1"/>
  <c r="F277" i="1" s="1"/>
  <c r="F865" i="1"/>
  <c r="F864" i="1" s="1"/>
  <c r="F863" i="1" s="1"/>
  <c r="F862" i="1" s="1"/>
  <c r="F861" i="1" s="1"/>
  <c r="D155" i="2"/>
  <c r="D249" i="2"/>
  <c r="D16" i="2"/>
  <c r="D15" i="2" s="1"/>
  <c r="D330" i="2"/>
  <c r="D329" i="2" s="1"/>
  <c r="D195" i="2"/>
  <c r="D160" i="2"/>
  <c r="D311" i="2"/>
  <c r="D310" i="2" s="1"/>
  <c r="D144" i="2"/>
  <c r="D143" i="2" s="1"/>
  <c r="F671" i="1"/>
  <c r="F670" i="1" s="1"/>
  <c r="D501" i="2"/>
  <c r="F760" i="1"/>
  <c r="F759" i="1" s="1"/>
  <c r="F758" i="1" s="1"/>
  <c r="F757" i="1" s="1"/>
  <c r="F745" i="1" s="1"/>
  <c r="D540" i="2"/>
  <c r="D539" i="2" s="1"/>
  <c r="F570" i="1"/>
  <c r="D561" i="2"/>
  <c r="F632" i="1"/>
  <c r="F631" i="1" s="1"/>
  <c r="F630" i="1" s="1"/>
  <c r="F629" i="1" s="1"/>
  <c r="F628" i="1" s="1"/>
  <c r="F624" i="1" s="1"/>
  <c r="F697" i="1"/>
  <c r="F696" i="1" s="1"/>
  <c r="D318" i="2"/>
  <c r="D317" i="2" s="1"/>
  <c r="F169" i="1"/>
  <c r="F168" i="1" s="1"/>
  <c r="F167" i="1" s="1"/>
  <c r="F267" i="1"/>
  <c r="F447" i="1"/>
  <c r="F446" i="1" s="1"/>
  <c r="F445" i="1" s="1"/>
  <c r="F444" i="1" s="1"/>
  <c r="F443" i="1" s="1"/>
  <c r="F442" i="1" s="1"/>
  <c r="F453" i="1"/>
  <c r="F452" i="1" s="1"/>
  <c r="F897" i="1"/>
  <c r="F896" i="1" s="1"/>
  <c r="F895" i="1" s="1"/>
  <c r="F100" i="1"/>
  <c r="F99" i="1" s="1"/>
  <c r="F293" i="1"/>
  <c r="F292" i="1" s="1"/>
  <c r="F648" i="1"/>
  <c r="F647" i="1" s="1"/>
  <c r="F705" i="1"/>
  <c r="F704" i="1" s="1"/>
  <c r="F161" i="1"/>
  <c r="F160" i="1" s="1"/>
  <c r="F315" i="1"/>
  <c r="F314" i="1" s="1"/>
  <c r="F313" i="1" s="1"/>
  <c r="F523" i="1"/>
  <c r="F77" i="1"/>
  <c r="F76" i="1" s="1"/>
  <c r="F191" i="1"/>
  <c r="F187" i="1" s="1"/>
  <c r="F186" i="1" s="1"/>
  <c r="F185" i="1" s="1"/>
  <c r="F184" i="1" s="1"/>
  <c r="F660" i="1"/>
  <c r="F659" i="1" s="1"/>
  <c r="F36" i="1"/>
  <c r="F35" i="1" s="1"/>
  <c r="F551" i="1"/>
  <c r="F550" i="1" s="1"/>
  <c r="F549" i="1" s="1"/>
  <c r="F548" i="1" s="1"/>
  <c r="F547" i="1" s="1"/>
  <c r="F88" i="1"/>
  <c r="F87" i="1" s="1"/>
  <c r="F133" i="1"/>
  <c r="F132" i="1" s="1"/>
  <c r="F131" i="1" s="1"/>
  <c r="F130" i="1" s="1"/>
  <c r="F605" i="1"/>
  <c r="D167" i="2"/>
  <c r="F722" i="1"/>
  <c r="F721" i="1" s="1"/>
  <c r="F720" i="1" s="1"/>
  <c r="F719" i="1" s="1"/>
  <c r="F718" i="1" s="1"/>
  <c r="F880" i="1"/>
  <c r="F879" i="1"/>
  <c r="F878" i="1" s="1"/>
  <c r="F224" i="1"/>
  <c r="F223" i="1"/>
  <c r="D286" i="2"/>
  <c r="D59" i="2"/>
  <c r="D58" i="2" s="1"/>
  <c r="D128" i="2"/>
  <c r="D127" i="2" s="1"/>
  <c r="D295" i="2"/>
  <c r="D294" i="2" s="1"/>
  <c r="D11" i="2"/>
  <c r="D94" i="2"/>
  <c r="D238" i="2"/>
  <c r="D234" i="2" s="1"/>
  <c r="D347" i="2"/>
  <c r="D343" i="2" s="1"/>
  <c r="D10" i="2"/>
  <c r="D66" i="2"/>
  <c r="D65" i="2" s="1"/>
  <c r="D22" i="2"/>
  <c r="D21" i="2" s="1"/>
  <c r="D33" i="2"/>
  <c r="D32" i="2" s="1"/>
  <c r="G20" i="18" l="1"/>
  <c r="D15" i="18"/>
  <c r="D13" i="18" s="1"/>
  <c r="D194" i="2"/>
  <c r="F522" i="1"/>
  <c r="F521" i="1" s="1"/>
  <c r="F520" i="1" s="1"/>
  <c r="F491" i="1" s="1"/>
  <c r="F312" i="1"/>
  <c r="F27" i="1"/>
  <c r="F26" i="1" s="1"/>
  <c r="F25" i="1" s="1"/>
  <c r="F375" i="1"/>
  <c r="F368" i="1" s="1"/>
  <c r="F367" i="1" s="1"/>
  <c r="F366" i="1" s="1"/>
  <c r="D82" i="2"/>
  <c r="F569" i="1"/>
  <c r="F568" i="1" s="1"/>
  <c r="F567" i="1" s="1"/>
  <c r="D233" i="2"/>
  <c r="F646" i="1"/>
  <c r="F638" i="1" s="1"/>
  <c r="F637" i="1" s="1"/>
  <c r="F691" i="1"/>
  <c r="F690" i="1" s="1"/>
  <c r="F689" i="1" s="1"/>
  <c r="F688" i="1" s="1"/>
  <c r="F473" i="1"/>
  <c r="F472" i="1" s="1"/>
  <c r="F471" i="1" s="1"/>
  <c r="F470" i="1" s="1"/>
  <c r="F266" i="1"/>
  <c r="F265" i="1" s="1"/>
  <c r="D154" i="2"/>
  <c r="D366" i="2"/>
  <c r="D358" i="2" s="1"/>
  <c r="D309" i="2"/>
  <c r="D560" i="2"/>
  <c r="F877" i="1"/>
  <c r="F876" i="1" s="1"/>
  <c r="F75" i="1"/>
  <c r="F74" i="1" s="1"/>
  <c r="F73" i="1" s="1"/>
  <c r="F159" i="1"/>
  <c r="F158" i="1" s="1"/>
  <c r="F157" i="1" s="1"/>
  <c r="F778" i="1"/>
  <c r="F777" i="1" s="1"/>
  <c r="F776" i="1" s="1"/>
  <c r="F775" i="1" s="1"/>
  <c r="F736" i="1" s="1"/>
  <c r="D328" i="2"/>
  <c r="D14" i="2"/>
  <c r="G15" i="18" l="1"/>
  <c r="F311" i="1"/>
  <c r="F11" i="1"/>
  <c r="D64" i="2"/>
  <c r="F566" i="1"/>
  <c r="F546" i="1" s="1"/>
  <c r="F537" i="1" s="1"/>
  <c r="D14" i="18" l="1"/>
  <c r="G13" i="18"/>
  <c r="F50" i="8"/>
  <c r="C64" i="8"/>
  <c r="C65" i="8"/>
  <c r="C80" i="8"/>
  <c r="C81" i="8"/>
  <c r="C86" i="8"/>
  <c r="C87" i="8"/>
  <c r="C88" i="8"/>
  <c r="C50" i="8" l="1"/>
  <c r="N50" i="8"/>
  <c r="F247" i="1"/>
  <c r="F240" i="1" s="1"/>
  <c r="F233" i="1" s="1"/>
  <c r="F232" i="1" s="1"/>
  <c r="F231" i="1" s="1"/>
  <c r="F230" i="1" s="1"/>
  <c r="F183" i="1" s="1"/>
  <c r="D466" i="2" l="1"/>
  <c r="D459" i="2" s="1"/>
  <c r="D452" i="2" s="1"/>
  <c r="D451" i="2" s="1"/>
  <c r="D515" i="2" l="1"/>
  <c r="F150" i="1"/>
  <c r="F147" i="1" s="1"/>
  <c r="F146" i="1" s="1"/>
  <c r="F145" i="1" s="1"/>
  <c r="F144" i="1" s="1"/>
  <c r="F129" i="1" s="1"/>
  <c r="F10" i="1" l="1"/>
  <c r="F909" i="1" s="1"/>
  <c r="D512" i="2"/>
  <c r="D500" i="2" s="1"/>
  <c r="D9" i="2" s="1"/>
  <c r="D12" i="2"/>
  <c r="D620" i="2" l="1"/>
  <c r="C79" i="8" l="1"/>
  <c r="C78" i="8"/>
  <c r="C77" i="8"/>
  <c r="C76" i="8"/>
  <c r="C75" i="8"/>
  <c r="C74" i="8"/>
  <c r="C73" i="8"/>
  <c r="C72" i="8"/>
  <c r="C71" i="8"/>
  <c r="C70" i="8"/>
  <c r="C69" i="8"/>
  <c r="C68" i="8"/>
  <c r="C67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4" i="8" l="1"/>
  <c r="C33" i="8" s="1"/>
  <c r="F33" i="8"/>
  <c r="N33" i="8" s="1"/>
  <c r="F95" i="8" l="1"/>
  <c r="C95" i="8"/>
  <c r="C94" i="8" s="1"/>
  <c r="G94" i="8"/>
  <c r="K93" i="8"/>
  <c r="H92" i="8"/>
  <c r="D92" i="8"/>
  <c r="L92" i="8" s="1"/>
  <c r="J92" i="8"/>
  <c r="F92" i="8"/>
  <c r="K91" i="8"/>
  <c r="G91" i="8"/>
  <c r="C91" i="8"/>
  <c r="J90" i="8"/>
  <c r="G90" i="8" s="1"/>
  <c r="F90" i="8"/>
  <c r="K36" i="8"/>
  <c r="K35" i="8" s="1"/>
  <c r="G36" i="8"/>
  <c r="C36" i="8"/>
  <c r="J35" i="8"/>
  <c r="I35" i="8"/>
  <c r="F35" i="8"/>
  <c r="N35" i="8" s="1"/>
  <c r="E35" i="8"/>
  <c r="M35" i="8" s="1"/>
  <c r="K20" i="8"/>
  <c r="C20" i="8"/>
  <c r="K19" i="8"/>
  <c r="G19" i="8"/>
  <c r="C19" i="8"/>
  <c r="K18" i="8"/>
  <c r="G18" i="8"/>
  <c r="C18" i="8"/>
  <c r="I16" i="8"/>
  <c r="H16" i="8"/>
  <c r="E16" i="8"/>
  <c r="D16" i="8"/>
  <c r="C90" i="8" l="1"/>
  <c r="N90" i="8"/>
  <c r="K90" i="8" s="1"/>
  <c r="N92" i="8"/>
  <c r="F94" i="8"/>
  <c r="N94" i="8" s="1"/>
  <c r="N95" i="8"/>
  <c r="D30" i="8"/>
  <c r="J30" i="8"/>
  <c r="J29" i="8" s="1"/>
  <c r="H30" i="8"/>
  <c r="H29" i="8" s="1"/>
  <c r="F30" i="8"/>
  <c r="G35" i="8"/>
  <c r="C35" i="8"/>
  <c r="C93" i="8"/>
  <c r="M16" i="8"/>
  <c r="E92" i="8"/>
  <c r="I92" i="8"/>
  <c r="G92" i="8" s="1"/>
  <c r="E30" i="8" l="1"/>
  <c r="M30" i="8" s="1"/>
  <c r="M92" i="8"/>
  <c r="K92" i="8" s="1"/>
  <c r="K30" i="8" s="1"/>
  <c r="K29" i="8" s="1"/>
  <c r="D29" i="8"/>
  <c r="L29" i="8" s="1"/>
  <c r="L30" i="8"/>
  <c r="F29" i="8"/>
  <c r="N30" i="8"/>
  <c r="I30" i="8"/>
  <c r="I29" i="8" s="1"/>
  <c r="G30" i="8"/>
  <c r="G29" i="8" s="1"/>
  <c r="E29" i="8"/>
  <c r="M29" i="8" s="1"/>
  <c r="C92" i="8"/>
  <c r="C30" i="8" s="1"/>
  <c r="N29" i="8" l="1"/>
  <c r="E9" i="8" s="1"/>
  <c r="F21" i="8"/>
  <c r="F16" i="8"/>
  <c r="C29" i="8"/>
  <c r="J21" i="8" l="1"/>
  <c r="C21" i="8"/>
  <c r="C16" i="8" s="1"/>
  <c r="G21" i="8" l="1"/>
  <c r="G16" i="8" s="1"/>
  <c r="N21" i="8"/>
  <c r="J16" i="8"/>
  <c r="K21" i="8" l="1"/>
  <c r="K16" i="8" s="1"/>
  <c r="N16" i="8"/>
</calcChain>
</file>

<file path=xl/sharedStrings.xml><?xml version="1.0" encoding="utf-8"?>
<sst xmlns="http://schemas.openxmlformats.org/spreadsheetml/2006/main" count="4214" uniqueCount="1566">
  <si>
    <t>Итого расходов: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</si>
  <si>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</si>
  <si>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</si>
  <si>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</si>
  <si>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92 0 00 2С170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</si>
  <si>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</si>
  <si>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2Н028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</si>
  <si>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</si>
  <si>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2Н024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</si>
  <si>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</si>
  <si>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92 0 00 2Н022</t>
  </si>
  <si>
    <t>Закупка товаров, работ и услуг для обеспечения  государственных (муниципальных) нужд</t>
  </si>
  <si>
    <t>200</t>
  </si>
  <si>
    <t>Обеспечение деятельности  муниципального казенного учреждения «Единый учетный центр»</t>
  </si>
  <si>
    <t>92 0 00 00210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</si>
  <si>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</si>
  <si>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92 0 00 00000</t>
  </si>
  <si>
    <t xml:space="preserve">Непрограммные мероприятия  </t>
  </si>
  <si>
    <t xml:space="preserve">90 0 00 00000 </t>
  </si>
  <si>
    <t>Другие общегосударственные расходы</t>
  </si>
  <si>
    <t>0113</t>
  </si>
  <si>
    <t>Иные бюджетные ассигнования</t>
  </si>
  <si>
    <t>800</t>
  </si>
  <si>
    <t>Резервный фонд администрации Юсьвинского муниципального округа Пермского края</t>
  </si>
  <si>
    <t>92 0 00 00777</t>
  </si>
  <si>
    <t>Резервные фонды</t>
  </si>
  <si>
    <t>0111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</si>
  <si>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</si>
  <si>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4У070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</si>
  <si>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</si>
  <si>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</si>
  <si>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</si>
  <si>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01 2 00 00000</t>
  </si>
  <si>
    <t>Муниципальная программа "Муниципальное управление в Юсьвинском муниципальном округе Пермского края"</t>
  </si>
  <si>
    <t>01 0 00 00000</t>
  </si>
  <si>
    <t>Муниципальные программы Юсьвинского муниципального округа Пермского края</t>
  </si>
  <si>
    <t>00 0 00 00000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</si>
  <si>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</si>
  <si>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</si>
  <si>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</si>
  <si>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</si>
  <si>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Финансовое управление администрации Юсьвинского муниципального округа Пермского края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</si>
  <si>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</si>
  <si>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92 0 00 00260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</si>
  <si>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</si>
  <si>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Обеспечение деятельности Аппарата  Думы Юсьвинского муниципального округа Пермского края</t>
  </si>
  <si>
    <t xml:space="preserve">91 0 00 00031 </t>
  </si>
  <si>
    <t xml:space="preserve">Компенсационные выплаты депутатам Думы Юсьвинского муниципального округа Пермского края </t>
  </si>
  <si>
    <t xml:space="preserve">91 0 00 00021  </t>
  </si>
  <si>
    <t>Обеспечение деятельности органов местного самоуправления Юсьвинского муниципального округа</t>
  </si>
  <si>
    <t xml:space="preserve">91 0 00 00000 </t>
  </si>
  <si>
    <t>Непрограммные мероприятия</t>
  </si>
  <si>
    <t>90 0 00 00000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</si>
  <si>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</si>
  <si>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</si>
  <si>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Дума Юсьвинского муниципального округа Пермского края</t>
  </si>
  <si>
    <t>Предоставление субсидий бюджетным, автономным учреждениям и иным некоммерческим организациям</t>
  </si>
  <si>
    <t>600</t>
  </si>
  <si>
    <t>Осуществление издательской деятельности (выпуск газеты «Юсьвинские вести»)</t>
  </si>
  <si>
    <t xml:space="preserve">06 3 10 4К140 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</si>
  <si>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</si>
  <si>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>06 3 10 00000</t>
  </si>
  <si>
    <t>Подпрограмма "Информационная  политика"</t>
  </si>
  <si>
    <t>06 3 00 00000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</si>
  <si>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</si>
  <si>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06 0 00 00000 </t>
  </si>
  <si>
    <t>Периодическая печать и издательства</t>
  </si>
  <si>
    <t>Средства массовой информации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</si>
  <si>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</si>
  <si>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07 0 10 4Ф010 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</si>
  <si>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</si>
  <si>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07 0 10 00000</t>
  </si>
  <si>
    <t>Муниципальная программа "Развитие физической культуры и спорта в  Юсьвинском муниципальном округе Пермского края"</t>
  </si>
  <si>
    <t>07 0 00 00000</t>
  </si>
  <si>
    <t>Физическая культура</t>
  </si>
  <si>
    <t>1101</t>
  </si>
  <si>
    <t>Физическая культура и спорт</t>
  </si>
  <si>
    <t xml:space="preserve">в том числе за счет средств местного  бюджета </t>
  </si>
  <si>
    <t>Социальное обеспечение и иные выплаты населению</t>
  </si>
  <si>
    <t>300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</si>
  <si>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</si>
  <si>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02 5 30 2С170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</si>
  <si>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</si>
  <si>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02 5 30 00000</t>
  </si>
  <si>
    <t>Подпрограмма "Кадровая политика"</t>
  </si>
  <si>
    <t>02 5 00 00000</t>
  </si>
  <si>
    <t>Муниципальная программа "Развитие  образования Юсьвинского муниципального округа Пермского края"</t>
  </si>
  <si>
    <t>02 0 00 00000</t>
  </si>
  <si>
    <t>Социальное обеспечение населения</t>
  </si>
  <si>
    <t>Социальная политика</t>
  </si>
  <si>
    <t>Обеспечение кадровой политики в сфере культуры и искусства</t>
  </si>
  <si>
    <t xml:space="preserve">06 1 60 4К060 </t>
  </si>
  <si>
    <t>Основное мероприятие "Кадровая политика"</t>
  </si>
  <si>
    <t>06 1 60 00000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</si>
  <si>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</si>
  <si>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50 4К030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</si>
  <si>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</si>
  <si>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4К020</t>
  </si>
  <si>
    <t>Основное мероприятие "Организация и проведение социально- значимых мероприятий в сфере искусства и культуры"</t>
  </si>
  <si>
    <t>06 1 50 00000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</si>
  <si>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</si>
  <si>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06 1 00 00000  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</si>
  <si>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</si>
  <si>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Муниципальная программа "Совершенствование муниципального управления в Юсьвинском муниципальном округе Пермского края"</t>
  </si>
  <si>
    <t>Другие вопросы в области культуры, кинематографии</t>
  </si>
  <si>
    <t>0804</t>
  </si>
  <si>
    <t>в том числе за счет местного бюджета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</si>
  <si>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исследованияобъекта культурного наследия</t>
  </si>
  <si>
    <t>в том числе за счет краевого бюджета</t>
  </si>
  <si>
    <t>в том числе за счет федерального бюджета</t>
  </si>
  <si>
    <t>в том числе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</si>
  <si>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</si>
  <si>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06 1  70 00000</t>
  </si>
  <si>
    <t>Публичный показ музейных предметов, музейных коллекций</t>
  </si>
  <si>
    <t>06 1 30 00150</t>
  </si>
  <si>
    <t>Основное мероприятие "Сохранение, пополнение, популяризация музейного фонда и развития музеев"</t>
  </si>
  <si>
    <t>06 1 30 00000</t>
  </si>
  <si>
    <t xml:space="preserve">Комплектование книжных фондов муниципальных общедоступных  библиотек </t>
  </si>
  <si>
    <t>06 1 20 4К010</t>
  </si>
  <si>
    <t>Библиотечное, библиографическое и информационное обслуживание пользователей библиотеки</t>
  </si>
  <si>
    <t>06 1 20 00150</t>
  </si>
  <si>
    <t>Основное мероприятие "Сохранение и развитие библиотечного дела"</t>
  </si>
  <si>
    <t>06 1 20 00000</t>
  </si>
  <si>
    <t xml:space="preserve">Организация и проведение мероприятий культурно-досуговыми учреждениями </t>
  </si>
  <si>
    <t xml:space="preserve">06 1 10 00150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</si>
  <si>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</si>
  <si>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06 1 10 00000 </t>
  </si>
  <si>
    <t>Культура</t>
  </si>
  <si>
    <t>0801</t>
  </si>
  <si>
    <t>Культура и кинематография</t>
  </si>
  <si>
    <t>0800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</si>
  <si>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</si>
  <si>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4Н082</t>
  </si>
  <si>
    <t>Основное мероприятие "Организация оздоровительной кампании в каникулярный период"</t>
  </si>
  <si>
    <t>02 4 10 00000</t>
  </si>
  <si>
    <t>Подпрограмма "Развитие системы отдыха, оздоровления и занятости детей"</t>
  </si>
  <si>
    <t>02 4 00 00000</t>
  </si>
  <si>
    <t>Другие вопросы в области образования</t>
  </si>
  <si>
    <t>0709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</si>
  <si>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</si>
  <si>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4К130 </t>
  </si>
  <si>
    <t>Основное мероприятие "Организация и проведение мероприятий среди молодежи"</t>
  </si>
  <si>
    <t>06 2 10 00000</t>
  </si>
  <si>
    <t>Подпрограмма "Молодежная политика"</t>
  </si>
  <si>
    <t>06 2 00 00000</t>
  </si>
  <si>
    <t>Молодежная политика</t>
  </si>
  <si>
    <t>0707</t>
  </si>
  <si>
    <t>Реализация дополнительного образования детям в области искусства</t>
  </si>
  <si>
    <t>06 1 40 00150</t>
  </si>
  <si>
    <t>Основное мероприятие "Предоставление дополнительного образования детям в области искусства"</t>
  </si>
  <si>
    <t>06 1 40 00000</t>
  </si>
  <si>
    <t>Дополнительное образование детей</t>
  </si>
  <si>
    <t>0703</t>
  </si>
  <si>
    <t>Образование</t>
  </si>
  <si>
    <t>0700</t>
  </si>
  <si>
    <t>Отдел культуры, молодежной политики и спорта администрации Юсьвинского муниципального округа Пермского края</t>
  </si>
  <si>
    <t>за счет местного бюджета</t>
  </si>
  <si>
    <t>за счет краевого бюджета</t>
  </si>
  <si>
    <t>Реализация мероприятия "Умею плавать!"</t>
  </si>
  <si>
    <t>07 0 10 SФ320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</si>
  <si>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</si>
  <si>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02 1 10 2Н022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</si>
  <si>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</si>
  <si>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 02 1 10 00000</t>
  </si>
  <si>
    <t>Подпрограмма "Дошкольное образование"</t>
  </si>
  <si>
    <t>02 1 00 00000</t>
  </si>
  <si>
    <t>Муниципальные программы Юсьвинского муниципального округа</t>
  </si>
  <si>
    <t>Охрана семьи и детства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</si>
  <si>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</si>
  <si>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 мер социальной поддержки педагогическим работникам общеобразовательных организаций</t>
  </si>
  <si>
    <t>02 5 30 2Н024</t>
  </si>
  <si>
    <t>02 2 20 4Н020</t>
  </si>
  <si>
    <t>Обеспечение питанием обучающихся из семей, нуждающихся в мерах социальной поддержки</t>
  </si>
  <si>
    <t>02 2 20 2Н026</t>
  </si>
  <si>
    <t>Обеспечение питанием обучающихся из многодетных семей, нуждающихся в мерах социальной поддержки</t>
  </si>
  <si>
    <t>02 2 20 2Н025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</si>
  <si>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</si>
  <si>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02 2 20 00000</t>
  </si>
  <si>
    <t>Подпрограмма "Общее (начальное, основное, среднее) образование"</t>
  </si>
  <si>
    <t>02 2 00 00000</t>
  </si>
  <si>
    <t>02 1 10 4Н020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</si>
  <si>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</si>
  <si>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</si>
  <si>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7 10 4Н210</t>
  </si>
  <si>
    <t>Основное мероприятие "Развитие системы этнокультурного образования"</t>
  </si>
  <si>
    <t>02 7 10 00000</t>
  </si>
  <si>
    <t>Подпрограмма "Реализация государственной политики в сфере образования"</t>
  </si>
  <si>
    <t>02 7 00 00000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</si>
  <si>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</si>
  <si>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20 4Н095</t>
  </si>
  <si>
    <t>Мероприятия, обеспечивающие кадровую политику в сфере образования</t>
  </si>
  <si>
    <t>02 5 20 4Н090</t>
  </si>
  <si>
    <t>Основное мероприятие "Мероприятия, обеспечивающие кадровую политику в сфере образования"</t>
  </si>
  <si>
    <t>02 5 20 00000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</si>
  <si>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</si>
  <si>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4 10 2С140</t>
  </si>
  <si>
    <t>02 4 10 4Н081</t>
  </si>
  <si>
    <t>Мероприятия по формированию патриотического и духовно-нравственного воспитания детей</t>
  </si>
  <si>
    <t>02 3 10 4Н068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</si>
  <si>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</si>
  <si>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4Н067</t>
  </si>
  <si>
    <t>Организация и проведение мероприятий для детей приоритетных категорий</t>
  </si>
  <si>
    <t>02 3 10 4Н066</t>
  </si>
  <si>
    <t>Обеспечение деятельности психолого-медико педагогической комиссии</t>
  </si>
  <si>
    <t>02 3 10 4Н060</t>
  </si>
  <si>
    <t>Мероприятия, направленные на поддержку и развитие одаренных детей</t>
  </si>
  <si>
    <t>02 3 10 4Н050</t>
  </si>
  <si>
    <t>Основное мероприятие "Оказание услуг по реализации дополнительных образовательных программ"</t>
  </si>
  <si>
    <t>02 3 10 00000</t>
  </si>
  <si>
    <t>Подпрограмма "Дополнительное образование и воспитание детей"</t>
  </si>
  <si>
    <t>02 3 00 00000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</si>
  <si>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</si>
  <si>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</si>
  <si>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</si>
  <si>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02 3 10 00150</t>
  </si>
  <si>
    <t>Муниципальная программа "Образование Юсьвинского муниципального округа Пермского края"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</si>
  <si>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</si>
  <si>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</si>
  <si>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02  6 10 00000</t>
  </si>
  <si>
    <t>Подпрограмма "Приведение образовательных организаций в нормативное состояние"</t>
  </si>
  <si>
    <t>02 6 00 00000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</si>
  <si>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</si>
  <si>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в том числе за счет средств бюджета Пермского края</t>
  </si>
  <si>
    <t>Оснащение муниципальных образовательных организаций оборудованием, средствами обученияи воспитания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</si>
  <si>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</si>
  <si>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L3040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</si>
  <si>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</si>
  <si>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Организация подвоза питания для обучающихся  (воспитанников) структурных подразделений образовательных учреждений</t>
  </si>
  <si>
    <t>02 2 20 4Н040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</si>
  <si>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</si>
  <si>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4Н030</t>
  </si>
  <si>
    <t>Обеспечение бесплатного проезда  обучающихся до места обучения и обратно</t>
  </si>
  <si>
    <t>02 2 20 4Н010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</si>
  <si>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</si>
  <si>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10 SH040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</si>
  <si>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</si>
  <si>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2Н021</t>
  </si>
  <si>
    <t>Оказание услуг в сфере общего образования в рамках полномочий Юсьвинского муниципального округа Пермского края</t>
  </si>
  <si>
    <t>02 2 10 00150</t>
  </si>
  <si>
    <t xml:space="preserve">02 2 10 00000 </t>
  </si>
  <si>
    <t>Общее образование</t>
  </si>
  <si>
    <t>0702</t>
  </si>
  <si>
    <t>Обеспечение бесплатного проезда обучающихся до места обучения и обратно</t>
  </si>
  <si>
    <t>02 1 10 4Н010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</si>
  <si>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</si>
  <si>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2Н021</t>
  </si>
  <si>
    <t>Оказание услуг дошкольного образования в рамках полномочий Юсьвинского муниципального округа Пермского края</t>
  </si>
  <si>
    <t>02 1 10 00150</t>
  </si>
  <si>
    <t>Дошкольное образование</t>
  </si>
  <si>
    <t>0701</t>
  </si>
  <si>
    <t>Управление образования администрации Юсьвинского муниципального округа Пермского края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</si>
  <si>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</si>
  <si>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2С070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</si>
  <si>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</si>
  <si>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</si>
  <si>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</si>
  <si>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04 0 00 00000</t>
  </si>
  <si>
    <t>Другие вопросы в области социальной политики</t>
  </si>
  <si>
    <t>1006</t>
  </si>
  <si>
    <t>Капитальные вложения в объекты недвижимого имущества государственной (муниципальной) собственности</t>
  </si>
  <si>
    <t>400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</si>
  <si>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</si>
  <si>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04 0 10 L4970</t>
  </si>
  <si>
    <t>04 0 10 2С020</t>
  </si>
  <si>
    <t>Основное мероприятие  "Обеспечение жильем молодых семей"</t>
  </si>
  <si>
    <t>04 0 10 00000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</si>
  <si>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</si>
  <si>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4И040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</si>
  <si>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</si>
  <si>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05 0 10 00000</t>
  </si>
  <si>
    <t>Муниципальная программа "Управление муниципальным имуществом  Юсьвинского муниципального округа Пермского края"</t>
  </si>
  <si>
    <t>05 0 00 00000</t>
  </si>
  <si>
    <t>1003</t>
  </si>
  <si>
    <t>Выплата пенсии за выслугу лет лицам, замещавшим муниципальные  должности и должности муниципальной службы</t>
  </si>
  <si>
    <t>01 2 10 70001</t>
  </si>
  <si>
    <t>Пенсионное обеспечение</t>
  </si>
  <si>
    <t>1001</t>
  </si>
  <si>
    <t>Строительство Купросского сельского дома культуры на 50 мест в с. Купрос</t>
  </si>
  <si>
    <t>06 1 70 00000</t>
  </si>
  <si>
    <t>06 1 00 00000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</si>
  <si>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</si>
  <si>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06 0 00 00000</t>
  </si>
  <si>
    <t>Проектирование объекта "Строительство интерната Майкорская ОШИ Юсьвинского муниципального округа"</t>
  </si>
  <si>
    <t>02 2 30 SН072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</si>
  <si>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</si>
  <si>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02 2 30 00000</t>
  </si>
  <si>
    <t>Мероприятия по организации экологического воспитания и формирования экологической культуры</t>
  </si>
  <si>
    <t>10 2 30 4М037</t>
  </si>
  <si>
    <t>Основное мероприятие "Мероприятия по охране окружающей среды"</t>
  </si>
  <si>
    <t>10 2 30 00000</t>
  </si>
  <si>
    <t>Подпрограмма "Благоустройство территории  Юсьвинского муниципального округа Пермского края"</t>
  </si>
  <si>
    <t>10 2 00 00000</t>
  </si>
  <si>
    <t>Муниципальная программа "Территориальное развитие Юсьвинского муниципального округа Пермского края"</t>
  </si>
  <si>
    <t>10 0 00 00000</t>
  </si>
  <si>
    <t>Другие вопросы в области охраны окружающей среды</t>
  </si>
  <si>
    <t>0605</t>
  </si>
  <si>
    <t>Охрана окружающей среды</t>
  </si>
  <si>
    <t>0600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</si>
  <si>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</si>
  <si>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12 0 30  SЖ090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</si>
  <si>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</si>
  <si>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</si>
  <si>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</si>
  <si>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12 0 00 00000</t>
  </si>
  <si>
    <t>Текущее содержание (ремонт) объектов благоустройства, организация освещения улиц</t>
  </si>
  <si>
    <t>10 2 50 00150</t>
  </si>
  <si>
    <t>Основное мероприятие "Прочие мероприятия в области благоустройства"</t>
  </si>
  <si>
    <t>10 2 50 00000</t>
  </si>
  <si>
    <t>Обустройство мест (площадок) накопления твердых коммунальных отходов</t>
  </si>
  <si>
    <t>10 2 30 4М038</t>
  </si>
  <si>
    <t>Ликвидация несанкционированных свалок</t>
  </si>
  <si>
    <t xml:space="preserve">10 2 30 4М035 </t>
  </si>
  <si>
    <t>за счет средств местного бюджета</t>
  </si>
  <si>
    <t>Благоустройство общественных пространств (парков)</t>
  </si>
  <si>
    <t>10 2 20 SК320</t>
  </si>
  <si>
    <t>Обустройство уличного освещения в населенных пунктах Юсьвинского муниципального округа Пермского края</t>
  </si>
  <si>
    <t>10 2 20 4М091</t>
  </si>
  <si>
    <t>Обустройство тротуаров в населенных пунктах Юсьвинского муниципального округа Пермского края</t>
  </si>
  <si>
    <t>10 2 20 4М090</t>
  </si>
  <si>
    <t>за счет средств краевого бюджета</t>
  </si>
  <si>
    <t>внебюджетные источники</t>
  </si>
  <si>
    <t>Реализация проектов инициативного бюджетирования</t>
  </si>
  <si>
    <t xml:space="preserve">10 2 20 SP080 </t>
  </si>
  <si>
    <t>Основное мероприятие "Благоустройство территории Юсьвинского муниципального округа Пермского края"</t>
  </si>
  <si>
    <t>10 2 20 00000</t>
  </si>
  <si>
    <t>за счет федерального бюджета</t>
  </si>
  <si>
    <t>Реализация мероприятий, направленных на комплексное развитие сельских территорий (Благоустройство сельских территорий)</t>
  </si>
  <si>
    <t>10 1 10 L5765</t>
  </si>
  <si>
    <t>Подпрограмма "Комплексное  развитие сельских территорий"</t>
  </si>
  <si>
    <t>10 1 00 00000</t>
  </si>
  <si>
    <t>Благоустройство</t>
  </si>
  <si>
    <t>0503</t>
  </si>
  <si>
    <t>Проектирование блочно-модульных газовых котельных</t>
  </si>
  <si>
    <t>Техническое и аварийно-диспетчерское обслуживание распределительных газопроводов</t>
  </si>
  <si>
    <t>10 3 10 4М076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</si>
  <si>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</si>
  <si>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</si>
  <si>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10 4М075</t>
  </si>
  <si>
    <t>Ремонт (обустройство) источников водоснабжения и систем водоснабжения</t>
  </si>
  <si>
    <t>10 3 10 4М070</t>
  </si>
  <si>
    <t>Приобретение системы водоочистки на водозаборные скважины</t>
  </si>
  <si>
    <t>10 3 10 4М042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</si>
  <si>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</si>
  <si>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10 3 10 00000</t>
  </si>
  <si>
    <t xml:space="preserve"> Подпрограмма "Развитие коммунальной инфраструктуры Юсьвинского муниципального округа Пермского края" </t>
  </si>
  <si>
    <t>10 3 00 00000</t>
  </si>
  <si>
    <t>Организация зон санитарной охраны водозаборных скважин</t>
  </si>
  <si>
    <t xml:space="preserve">10 2 30 4М036 </t>
  </si>
  <si>
    <t>Коммунальное хозяйство</t>
  </si>
  <si>
    <t>0502</t>
  </si>
  <si>
    <t>Основное мероприятие «Переселение граждан из аварийного жилищного фонда признанного аварийным после 1 января 2017 года на территории Юсьвинского муниципального округа Пермского края»</t>
  </si>
  <si>
    <t>14 0 00 00000</t>
  </si>
  <si>
    <t xml:space="preserve"> за счет местного бюджета</t>
  </si>
  <si>
    <t xml:space="preserve"> за счет краевого бюджета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</si>
  <si>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</si>
  <si>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05 0 10 SP250</t>
  </si>
  <si>
    <t>Содержание жилых помещений маневренного фонда Юсьвинского муниципального округа Пермского края</t>
  </si>
  <si>
    <t>05 0 10 4И060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</si>
  <si>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</si>
  <si>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4И030</t>
  </si>
  <si>
    <t>Жилищное хозяйство</t>
  </si>
  <si>
    <t>0501</t>
  </si>
  <si>
    <t>Жилищно-коммунальное хозяйство</t>
  </si>
  <si>
    <t>0500</t>
  </si>
  <si>
    <t>Обеспечение деятельности МКУ "Управление дорожного хозяйства и капитального строительства"</t>
  </si>
  <si>
    <t>92 0 00 00200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</si>
  <si>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</si>
  <si>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15 0 20 4Г030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</si>
  <si>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</si>
  <si>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15 0 20 00000</t>
  </si>
  <si>
    <t xml:space="preserve">Разработка проектов межевания территории и проведение  комплексных  кадастровых работ </t>
  </si>
  <si>
    <t>15 0 10 SЦ140</t>
  </si>
  <si>
    <t>Формирование земельных участков</t>
  </si>
  <si>
    <t>15 0 10 4Г010</t>
  </si>
  <si>
    <t>Основное мероприятие «Управление земельными ресурсами»</t>
  </si>
  <si>
    <t>15 0 10 00000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</si>
  <si>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</si>
  <si>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15 0 00 00000</t>
  </si>
  <si>
    <t>Организация обучения для СМСП и самозанятых</t>
  </si>
  <si>
    <t>09 1 10 4Э031</t>
  </si>
  <si>
    <t>Проведение мероприятия, посвященного Дню российского предпринимательства</t>
  </si>
  <si>
    <t>09 1 10 4Э030</t>
  </si>
  <si>
    <t>Основное мероприятие "Создание условий для формирования комфортной деловой среды для развития и ведения бизнеса"</t>
  </si>
  <si>
    <t>09 1 10 00000</t>
  </si>
  <si>
    <t>Подпрограмма  «Развитие малого и среднего предпринимательства в Юсьвинском муниципальном округе Пермского края»</t>
  </si>
  <si>
    <t>09 1 00 00000</t>
  </si>
  <si>
    <t>Муниципальная программа "Экономическое развитие Юсьвинского муниципального округа Пермского края"</t>
  </si>
  <si>
    <t>09 0 00 00000</t>
  </si>
  <si>
    <t>Приобретение (выкуп) в муниципальную собственность объектов недвижимости</t>
  </si>
  <si>
    <t>05 0 20 4И050</t>
  </si>
  <si>
    <t>Основное мероприятие "Приобретение (выкуп) в муниципальную собственность объектов недвижимости "</t>
  </si>
  <si>
    <t>05 0 20 00000</t>
  </si>
  <si>
    <t>05 0 10 4И020</t>
  </si>
  <si>
    <t>Другие вопросы в области национальной экономики</t>
  </si>
  <si>
    <t>0412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</si>
  <si>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</si>
  <si>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Основное мероприятие "Обеспечение безопасности дорожных условий на автомобильных дорогах"</t>
  </si>
  <si>
    <t>11 3 10 00000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</si>
  <si>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</si>
  <si>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11 3 00 00000</t>
  </si>
  <si>
    <t>Приведение в нормативное состояние искусственных дорожных сооружений</t>
  </si>
  <si>
    <t>Основное мероприятие "Реализация федерального проекта "Региональная и местная дорожная сеть"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</si>
  <si>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</si>
  <si>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Основное мероприятие "Содержание автомобильных дорог"</t>
  </si>
  <si>
    <t xml:space="preserve">11 1 50 00000 </t>
  </si>
  <si>
    <t>Восстановление мостов и труб (несофинансируемые)</t>
  </si>
  <si>
    <t>Ремонт автомобильных дорог (несофинансируемые из бюджета ПК)</t>
  </si>
  <si>
    <t>Ремонт автомобильных дорог (софинансируемые из бюджета ПК)</t>
  </si>
  <si>
    <t>Основное мероприятие "Ремонт муниципальных дорог и искусственных дорожных сооружений"</t>
  </si>
  <si>
    <t>11 1 40 00000</t>
  </si>
  <si>
    <t xml:space="preserve"> Основное мероприятие "Проектно-изыскательские работы"</t>
  </si>
  <si>
    <t>11 1 20 00000</t>
  </si>
  <si>
    <t>11 1 10 00000</t>
  </si>
  <si>
    <t>Подпрограмма "Развитие и совершенствование автомобильных дорог Юсьвинского муниципального округа Пермского края"</t>
  </si>
  <si>
    <t>11 1 00 00000</t>
  </si>
  <si>
    <t>Муниципальная программа "Развитие транспортной системы Юсьвинского муниципального округа Пермского края"</t>
  </si>
  <si>
    <t>11 0 00 00000</t>
  </si>
  <si>
    <t>Дорожное хозяйство (дорожные фонды)</t>
  </si>
  <si>
    <t>0409</t>
  </si>
  <si>
    <t>11 2 10 4Д051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</si>
  <si>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</si>
  <si>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11 2 10 00000</t>
  </si>
  <si>
    <t xml:space="preserve"> Подпрограмма "Развитие автомобильного транспорта Юсьвинского муниципального округа Пермского края"</t>
  </si>
  <si>
    <t>11 2 00 00000</t>
  </si>
  <si>
    <t>Транспорт</t>
  </si>
  <si>
    <t>0408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</si>
  <si>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</si>
  <si>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40 4Б020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</si>
  <si>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</si>
  <si>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10 2 40 00000</t>
  </si>
  <si>
    <t>Проведение конкурса механизаторов</t>
  </si>
  <si>
    <t>09 2 20 4С070</t>
  </si>
  <si>
    <t>Проведение конкурса техников по искусственному осеменению  коров</t>
  </si>
  <si>
    <t>09 2 20 4С060</t>
  </si>
  <si>
    <t>Проведение отраслевых  семинаров со специалистами сельхозпредприятий</t>
  </si>
  <si>
    <t>09 2 20 4С050</t>
  </si>
  <si>
    <t>Проведение мероприятия, посвященного Дню работников сельского хозяйства и перерабатывающей промышленности</t>
  </si>
  <si>
    <t>09 2 20 4С030</t>
  </si>
  <si>
    <t>Основное мероприятие "Поддержка кадрового потенциала"</t>
  </si>
  <si>
    <t>09 2 20 00000</t>
  </si>
  <si>
    <t>Проведение  сельскохозяйственных ярмарок</t>
  </si>
  <si>
    <t>09 2 10 4С020</t>
  </si>
  <si>
    <t>Основное мероприятие "Поддержка и развитие малых форм хозяйствования"</t>
  </si>
  <si>
    <t>09 2 10 00000</t>
  </si>
  <si>
    <t>Подпрограмма  «Развитие сельского хозяйства в Юсьвинском муниципальном округе Пермского края»</t>
  </si>
  <si>
    <t>09 2 00 00000</t>
  </si>
  <si>
    <t>Сельское хозяйство и рыболовство</t>
  </si>
  <si>
    <t>0405</t>
  </si>
  <si>
    <t>Национальная экономика</t>
  </si>
  <si>
    <t>0400</t>
  </si>
  <si>
    <t>13 0 30 4Ч070</t>
  </si>
  <si>
    <t>Основное мероприятие "Оснащенность пунктов временного размещения"</t>
  </si>
  <si>
    <t>13 0 30 00000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</si>
  <si>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</si>
  <si>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13 0 00 00000</t>
  </si>
  <si>
    <t>Размещение уличной социальной рекламы</t>
  </si>
  <si>
    <t>08 2 10 4П091</t>
  </si>
  <si>
    <t>08 2 10 4П080</t>
  </si>
  <si>
    <t>08 2 10 SП020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</si>
  <si>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</si>
  <si>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08 2 10 00000</t>
  </si>
  <si>
    <t>Подпрограмма "Предупреждение  правонарушений, совершаемых на улице и в общественных местах"</t>
  </si>
  <si>
    <t xml:space="preserve">08 2 00 00000 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</si>
  <si>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</si>
  <si>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 1 10 4П070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</si>
  <si>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</si>
  <si>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4П020</t>
  </si>
  <si>
    <t>08 1 10 00000</t>
  </si>
  <si>
    <t>08 1  00 00000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</si>
  <si>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</si>
  <si>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08 0 00 00000 </t>
  </si>
  <si>
    <t>Другие вопросы в области национальной безопасности и правоохранительной деятельности</t>
  </si>
  <si>
    <t>0314</t>
  </si>
  <si>
    <t>Создание условий для организации добровольной пожарной охраны на территории ЮМО ПК</t>
  </si>
  <si>
    <t>13 0 20 00180</t>
  </si>
  <si>
    <t xml:space="preserve"> Противопожарное водоснабжение Юсьвинского муниципального округа Пермского края</t>
  </si>
  <si>
    <t>13 0 20 4Ч040</t>
  </si>
  <si>
    <t>Обеспечение первичными мерами пожарной безопасности</t>
  </si>
  <si>
    <t>13 0 20 4Ч030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</si>
  <si>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</si>
  <si>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13 0 20 00000</t>
  </si>
  <si>
    <t>Обеспечение пожарной безопасности</t>
  </si>
  <si>
    <t>0310</t>
  </si>
  <si>
    <t>Обеспечение содержания  муниципального казенного учреждения «ЕДДС»</t>
  </si>
  <si>
    <t>13 0 10 00170</t>
  </si>
  <si>
    <t>13 0 10 4Ч020</t>
  </si>
  <si>
    <t xml:space="preserve">Обучение членов комиссии по ГО и РСЧС </t>
  </si>
  <si>
    <t>13 0 10 4Ч010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</si>
  <si>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</si>
  <si>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</si>
  <si>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</si>
  <si>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</si>
  <si>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</si>
  <si>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</si>
  <si>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</si>
  <si>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01 3 10 51180</t>
  </si>
  <si>
    <t>Основное мероприятие "Обеспечение выполнения переданных государственных полномочий"</t>
  </si>
  <si>
    <t>01 3 10 00000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</si>
  <si>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</si>
  <si>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01 3 00 00000</t>
  </si>
  <si>
    <t>Мобилизационная и вневойсковая подготовка</t>
  </si>
  <si>
    <t>0203</t>
  </si>
  <si>
    <t>Национальная оборона</t>
  </si>
  <si>
    <t>0200</t>
  </si>
  <si>
    <t xml:space="preserve">Расходы на уплату членского взноса в Совет муниципальных образований </t>
  </si>
  <si>
    <t>92 0 00 00270</t>
  </si>
  <si>
    <t>Подготовка котельных к отопительному сезону</t>
  </si>
  <si>
    <t>92 0 00 00221</t>
  </si>
  <si>
    <t xml:space="preserve"> Обеспечение деятельности  муниципального казенного учреждения «Единый сервисный центр» </t>
  </si>
  <si>
    <t>92 0 00 00220</t>
  </si>
  <si>
    <t>Предоставление субсидий СО НКО на организацию  и проведение общественно-значимых мероприятий с людьми пожилого возраста</t>
  </si>
  <si>
    <t>01 5 10 4У093</t>
  </si>
  <si>
    <t>Изготовление печатной продукции</t>
  </si>
  <si>
    <t>01 5 10 4У092</t>
  </si>
  <si>
    <t>Основное мероприятие "Формирование позитивного имиджа Юсьвинского муниципального округа Пермского края"</t>
  </si>
  <si>
    <t>01 5 10 00000</t>
  </si>
  <si>
    <t>Подпрограмма "Формирование позитивного имиджа Юсьвинского муниципального округа Пермского края"</t>
  </si>
  <si>
    <t>01 5 00 00000</t>
  </si>
  <si>
    <t>Государственная регистрация актов гражданского состояния</t>
  </si>
  <si>
    <t>01 3 10 59300</t>
  </si>
  <si>
    <t>Основное мероприятие "Обеспечение выполнения переданных отдельных государственных полномочий"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</si>
  <si>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</si>
  <si>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Обеспечение функционирования официального сайта администрации Юсьвинского муниципального округа Пермского края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</si>
  <si>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</si>
  <si>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20 4У020</t>
  </si>
  <si>
    <t>Основное мероприятие "Предоставление муниципальных услуг в электронном виде"</t>
  </si>
  <si>
    <t>01 1 20 00000</t>
  </si>
  <si>
    <t>Подпрограмма "Формирование общедоступной информационно-коммуникационной среды"</t>
  </si>
  <si>
    <t>01 1 00 00000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</si>
  <si>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</si>
  <si>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01 3 10 51200</t>
  </si>
  <si>
    <t xml:space="preserve"> Основное мероприятие "Обеспечение выполнения переданных государственных полномочий"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</si>
  <si>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</si>
  <si>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Судебная система</t>
  </si>
  <si>
    <t>0105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</si>
  <si>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</si>
  <si>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2У100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</si>
  <si>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</si>
  <si>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30 2С090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</si>
  <si>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</si>
  <si>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2Т060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</si>
  <si>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</si>
  <si>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01 3 10 2У110</t>
  </si>
  <si>
    <t>Осуществление полномочий по созданию и организации деятельности административных комиссий</t>
  </si>
  <si>
    <t>01 3 10 2П060</t>
  </si>
  <si>
    <t>Составление протоколов об административных правонарушениях</t>
  </si>
  <si>
    <t>01 3 10 2П040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</si>
  <si>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</si>
  <si>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Образование комиссий по делам несовершеннолетних и защите их прав и организация их деятельности</t>
  </si>
  <si>
    <t>01 3 10 2С150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</si>
  <si>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</si>
  <si>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</si>
  <si>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</si>
  <si>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4У060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</si>
  <si>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</si>
  <si>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</si>
  <si>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Администрация Юсьвинского муниципального округа Пермского края</t>
  </si>
  <si>
    <t>Направление расходов (отрасль), наименование показателя</t>
  </si>
  <si>
    <t>Вид расходов</t>
  </si>
  <si>
    <t>Целевая статья</t>
  </si>
  <si>
    <t>Раздел, подраздел</t>
  </si>
  <si>
    <t>Ведомство</t>
  </si>
  <si>
    <t>05 0 10 4И070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</si>
  <si>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</si>
  <si>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</si>
  <si>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</si>
  <si>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</si>
  <si>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</si>
  <si>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</si>
  <si>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Участие в экспозиции муниципалитетов  Пермского края в рамках форума «Дни пермского бизнеса»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</si>
  <si>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</si>
  <si>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</si>
  <si>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</si>
  <si>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Организация и проведение ежегодных субботников</t>
  </si>
  <si>
    <t xml:space="preserve">10 2 30 4М034 </t>
  </si>
  <si>
    <t xml:space="preserve">Предпроектное обследование зоны берегообрушения Камского водохранилища п. Майкор </t>
  </si>
  <si>
    <t xml:space="preserve">06 1 70 4К091 </t>
  </si>
  <si>
    <t>06 1 50 4К080</t>
  </si>
  <si>
    <t>Проведение мероприятий, приуроченных к 100-ию  Юсьвинского района</t>
  </si>
  <si>
    <t>14 0 F3 67483</t>
  </si>
  <si>
    <t>Предпроектное обследование моста через р. Лысковка автомобильной дороги "Подъезд к пристани Пожва" км 0+677</t>
  </si>
  <si>
    <t xml:space="preserve">Устройство контейнерных площадок для накопления твердых коммунальных отходов по приоритетному проекту «Наша улица» региональной программы «Комфортный край» </t>
  </si>
  <si>
    <t>10 2 30 SЭ240</t>
  </si>
  <si>
    <t>Снижение негативного воздействия на почвы, восстановление наруенных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</si>
  <si>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Развитие и укрепление материально-технической базы домов культуры (и их филиалов), расположенных в населенных пунктах с численностью жителей до 50 тысяч человек</t>
  </si>
  <si>
    <t>Осуществление технологического присоединениянового здания Купросского сельского дома культуры на 50 мест в с. Купрос</t>
  </si>
  <si>
    <t>92 0 00 4КЖ50</t>
  </si>
  <si>
    <t>ФБ</t>
  </si>
  <si>
    <t>КБ</t>
  </si>
  <si>
    <t>МБ</t>
  </si>
  <si>
    <t>ВБ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</si>
  <si>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</si>
  <si>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</si>
  <si>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</si>
  <si>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</si>
  <si>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Оснащение муниципальных образовательных организаций оборудованием, средствами обучения и воспитания</t>
  </si>
  <si>
    <t>Подпрограмма "Реализация государственной национальной политики в сфере образования"</t>
  </si>
  <si>
    <t xml:space="preserve">Приобретение (выкуп) в муниципальную собственность объектов недвижимости 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</si>
  <si>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</si>
  <si>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Участие в реализации  проекта «Новый клуб» программа «Комфортный край»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</si>
  <si>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 объекта культурного наследия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</si>
  <si>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</si>
  <si>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Основное мероприятие "Организация общественной безопасности на территории Юсьвинского муниципального округа Пермского края"</t>
  </si>
  <si>
    <t>10 1 10 00000</t>
  </si>
  <si>
    <t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</si>
  <si>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водоснабжения, разработка проектов для участия в конкурсном отборе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</si>
  <si>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</si>
  <si>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</si>
  <si>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Основное мероприятие "Оснащённость пунктов временного размещения"</t>
  </si>
  <si>
    <t>Муниципальная адресная программа «Переселение граждан и снос ветхих (аварийных) домов на территории Юсьвинского муниципального округа Пермского края»</t>
  </si>
  <si>
    <t>средства Фонда</t>
  </si>
  <si>
    <t>средства бюджета Пермского края</t>
  </si>
  <si>
    <t xml:space="preserve">средства местного бюджета </t>
  </si>
  <si>
    <t>Муниципальная программа  "Распоряжение земельными ресурсами в Юсьвинском муниципальном округе Пермского края"</t>
  </si>
  <si>
    <t>2025 год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</si>
  <si>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</si>
  <si>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Приложение 4</t>
  </si>
  <si>
    <t>Приложение 5</t>
  </si>
  <si>
    <t>№ п/п</t>
  </si>
  <si>
    <t>средства краевого бюджета</t>
  </si>
  <si>
    <t>средства местного бюджета</t>
  </si>
  <si>
    <t>1. Доходы</t>
  </si>
  <si>
    <t>Наименование доходов</t>
  </si>
  <si>
    <t>средства федерального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</si>
  <si>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</si>
  <si>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</si>
  <si>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</si>
  <si>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</si>
  <si>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</si>
  <si>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</si>
  <si>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</si>
  <si>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</si>
  <si>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1.4.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</si>
  <si>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</si>
  <si>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</si>
  <si>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</si>
  <si>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</si>
  <si>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</si>
  <si>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</si>
  <si>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1.1.2.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</si>
  <si>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</si>
  <si>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</si>
  <si>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</si>
  <si>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</si>
  <si>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1.1.3.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</si>
  <si>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</si>
  <si>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</si>
  <si>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1.1.4.</t>
  </si>
  <si>
    <t>Мероприятие "Приведение в нормативное состояние искусственных дорожных сооружений"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</si>
  <si>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</si>
  <si>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</si>
  <si>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</si>
  <si>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</si>
  <si>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</si>
  <si>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</si>
  <si>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</si>
  <si>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</si>
  <si>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</si>
  <si>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</si>
  <si>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</si>
  <si>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</si>
  <si>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</si>
  <si>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</si>
  <si>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</si>
  <si>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</si>
  <si>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</si>
  <si>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</si>
  <si>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</si>
  <si>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</si>
  <si>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</si>
  <si>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</si>
  <si>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</si>
  <si>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Всего</t>
  </si>
  <si>
    <t xml:space="preserve">в том числе за счет средств краевого бюджета  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</si>
  <si>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</si>
  <si>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из бюджета Пермского края)</t>
  </si>
  <si>
    <t>Снос расселенных жилых домов и нежилых зданий (сооружений), расположенных на территории муниципальных образований Пермского края (несофинансируемые из бюджета Пермского края)</t>
  </si>
  <si>
    <t xml:space="preserve">06 1 70 L4670 </t>
  </si>
  <si>
    <t xml:space="preserve">06 1 70 4К092 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</si>
  <si>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</si>
  <si>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</si>
  <si>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09 1 20 4Э080</t>
  </si>
  <si>
    <t>10 2 20 4М098</t>
  </si>
  <si>
    <t xml:space="preserve">10 2 30 4М032 </t>
  </si>
  <si>
    <t>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</si>
  <si>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10 3 10 4М080</t>
  </si>
  <si>
    <t>10 3 10 4М082</t>
  </si>
  <si>
    <t>10 3 10 4М085</t>
  </si>
  <si>
    <t>Благоустройство общественных и дворовых территорий Юсьвинского муниципального округа Пермского края (расходы, не софинансируемые из федерального бюджета)</t>
  </si>
  <si>
    <t xml:space="preserve">91 0 00 00033 </t>
  </si>
  <si>
    <t>Приобретение программного обеспечения и компьютерной техники в целях автоматизации административно-управленческих процессов при выполнении функций Думы Юсьвинского муниципального округа Пермского края</t>
  </si>
  <si>
    <t>Ремонт трубопроводов подземных участков теплотрассы п. Пожва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</si>
  <si>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2025-2027 годы</t>
  </si>
  <si>
    <t>Основное мероприятие "Проектно-изыскательские работы"</t>
  </si>
  <si>
    <t>Мероприятие "Предпроектное обследование моста через р. Лысковка автомобильной дороги "Подъезд к пристани Пожва" км 0+677"</t>
  </si>
  <si>
    <t>Обеспечение бесплатным питанием обучающихся с ограниченными возможностями здоровья и детей-инвалидов в образовательных учреждениях</t>
  </si>
  <si>
    <t>01 1 20 4У040</t>
  </si>
  <si>
    <t xml:space="preserve">в том числе за счет средств федерального  бюджета </t>
  </si>
  <si>
    <t>Организация деятельности народной дружины по охране общественного порядка</t>
  </si>
  <si>
    <t>Организация и проведение рейдовых и других профилактических мероприятий, в т.ч. с несовершеннолетними</t>
  </si>
  <si>
    <t>1.1.5.</t>
  </si>
  <si>
    <t>Ремонт участка  автомобильной дороги "Купрос-Тимино-Тукачево" км 005+800 - км 006+920</t>
  </si>
  <si>
    <t>Ремонт участка  автомобильной дороги "Чинагорт - Верхняя Волпа" км 001+180 - км 002+980</t>
  </si>
  <si>
    <t>Ремонт  автомобильной дороги "Габово-Купрос-Данино"</t>
  </si>
  <si>
    <t xml:space="preserve">Ремонт автомобильной дороги по ул. Октябрьская п. Кама; </t>
  </si>
  <si>
    <t>Ремонт автомобильной дороги по ул. Пионерская п. Кама</t>
  </si>
  <si>
    <t>Ремонт автомобильной дороги по ул. Озерская д. Кузьмино</t>
  </si>
  <si>
    <t>Ремонт автомобильной дороги по ул.Мира (от ул. Ленина до ул. Октябрьская) п. Майкор</t>
  </si>
  <si>
    <t>Ремонт автомобильной дороги по ул.Северная с.Они</t>
  </si>
  <si>
    <t>Ремонт автомобильной дороги по ул. Центральная (от дома № 1 до дома № 44) д. Подволошино</t>
  </si>
  <si>
    <t>Ремонт автомобильной дороги по ул. Нагорная д. Сивашер</t>
  </si>
  <si>
    <t>Ремонт автомобильной дороги по ул. Центральная (от ул. Набережная дома № 2) д. Спирино</t>
  </si>
  <si>
    <t>Ремонт автомобильной дороги по ул. Заречная (от дома № 1 до дома № 21) д. Усть – Пожва</t>
  </si>
  <si>
    <t>Ремонт  автомобильной дороги по ул. Савинская (от дома № 1 до дома № 35) с. Юсьва</t>
  </si>
  <si>
    <t>Восстановление дорожного покрытия участка автомобильной дороги "Купрос-Тимино-Тукачево"</t>
  </si>
  <si>
    <t>Ремонт участка автомобильной дороги по ул. Апрельская с. Юсьва</t>
  </si>
  <si>
    <t>Ремонт автомобильной дороги по проулку от ул. Зеленая до ул. Школьная д. Городище</t>
  </si>
  <si>
    <t>Ремонт участка автомобильной дороги по ул. Усольская (от ул. Широкая до дома №2Д) п. Пожва</t>
  </si>
  <si>
    <t>Ремонт участка автомобильной дороги по ул. Крылова, ул. Матросова п. Пожва</t>
  </si>
  <si>
    <t>Ремонт участка автомобильной дороги по ул. Полевая(от дома №20 до дома № 22а) с. Юсьва</t>
  </si>
  <si>
    <t>Устройство площадки по ул. Советская с.Юсьва (МБОУ Юсьвинская СОШ)</t>
  </si>
  <si>
    <t>Ремонт участка автомобильной дороги от региональной автомобильной дороги "Кудымкар-Усолье" до ул. Парковая км 0+000-км 0+135 д. Макарово</t>
  </si>
  <si>
    <t>Устройство разворотной площадки в с. Тимино</t>
  </si>
  <si>
    <t>Замена переувлажненного грунта участка автомобильной дороги "Купрос-Тимино-Тукачево"</t>
  </si>
  <si>
    <t>Вырубка кустарника на участке автомобильной дороги "Купрос-Тимино-Тукачево" км 004+710 км 008+010</t>
  </si>
  <si>
    <t>Ремонт автомобильной дороги по ул. Западная (от ул. Заря Будущего до дома №10) с. Юсьва</t>
  </si>
  <si>
    <t>Ремонт автомобильной дороги по ул. Заря Будущего (от ул. Березовая до ул. Западная) с. Юсьва</t>
  </si>
  <si>
    <t>Ремонт моста через р. Юсьва автомобильной дороги "Сивашер-Обирино-Сыскино"</t>
  </si>
  <si>
    <t>Устройство водопропускных труб на автомобильной дороге по ул. Хуторская с. Юсьва</t>
  </si>
  <si>
    <t>Восстановление водопропускных труб на автомобильных дорогах  ( ул.Пушкина и ул. Заря Будущего) с. Юсьва</t>
  </si>
  <si>
    <t>Восстановление водопропускной трубы на автомобильной дороге по ул. Береговая с. Они</t>
  </si>
  <si>
    <t>Восстановление водопропускных труб на автомобильных дорогах ( ул. Загорная д. Загарье, ул. Урожайная с. Юсьва, ул. Вотинова, Ошмарина п. Майкор)</t>
  </si>
  <si>
    <t>Восстановление водопропускных труб в д. Белюково</t>
  </si>
  <si>
    <t>Ремонт моста через р. Ык на автомобильной дороге "Архангельское-Антипино-Якунево-Яранево"</t>
  </si>
  <si>
    <t>Ремонт моста через р. Вежашор на автомобильной дороге "Габово-Купрос-Данино"</t>
  </si>
  <si>
    <t>Ремонт моста через ручей по ул. Центральная д. Доег-Пет-Бор</t>
  </si>
  <si>
    <t>Восстановление водопропускной трубы на пересечении пер. Пушкина с ул. Суворова п. Майкор</t>
  </si>
  <si>
    <t>Ремонт моста через ручей д. Якушево на автомобильной дороге "Доег-Пет-Бор"</t>
  </si>
  <si>
    <t>Ремонт моста через р. Волпа на автомобильной дороге "Чинагорт-Верхняя Волпа" 4+607</t>
  </si>
  <si>
    <t>Устройство водопропускной трубы на ул. Комсомольская п. Майкор</t>
  </si>
  <si>
    <t>Обеспечение материальными резервами ПВР</t>
  </si>
  <si>
    <t>14 0 F3 00000</t>
  </si>
  <si>
    <t>Переселение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</si>
  <si>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Осуществление технологического присоединения нового здания Купросского сельского дома культуры на 50 мест в с. Купрос</t>
  </si>
  <si>
    <t>92 0 00 2У150</t>
  </si>
  <si>
    <t>02 2 20 L3030</t>
  </si>
  <si>
    <t>01 3 10 2В230</t>
  </si>
  <si>
    <t>Благоустройство общественных и дворовых территорий Юсьвинского муниципального округа Пермского края</t>
  </si>
  <si>
    <t>92 0 00 00420</t>
  </si>
  <si>
    <t>Установка новогодних елей на территории Юсьвинского муниципального округа Пермского края</t>
  </si>
  <si>
    <t>02 1 10 2H420</t>
  </si>
  <si>
    <t>02 1 10 2Н420</t>
  </si>
  <si>
    <t>Обеспечение бесплатным питанием обучающихся с ограниченными возможностями здоровья, детей-инвалидов в образовательных учреждениях</t>
  </si>
  <si>
    <t>Обеспечение деятельности психолого-медико-педагогической комиссии</t>
  </si>
  <si>
    <t>Обеспечение организации досуга, занятости и отдыха детей приоритетных категорий в каникулярное время</t>
  </si>
  <si>
    <t>07 0 10 2Ф180</t>
  </si>
  <si>
    <t>Обеспечение условий для развития физической культуры и массового спорта</t>
  </si>
  <si>
    <t>92 0 00 00440</t>
  </si>
  <si>
    <t>Подготовительные работы по мероприятию "Строительство интерната Майкорская ОШИ Юсьвинского муниципального округа"</t>
  </si>
  <si>
    <t>Ремонт водопропускной трубы на участке автомобильной дороги по ул. Парковая км 0+330 д. Малая Мочга</t>
  </si>
  <si>
    <t>Восстановление водопропускной трубы на ул. Судомеханическая (вблизи дома № 16) п. Пожва</t>
  </si>
  <si>
    <t>Восстановление водопропускных труб на съезде ул. Заводская (к школе) п. Майкор и ул. Советская (к домам № 39 и № 41) с. Купрос</t>
  </si>
  <si>
    <t>Устройство водопропускной трубы на съезде с ул. Центральная с. Тимино (вблизи автобусной остановки)</t>
  </si>
  <si>
    <t>Уширение земляного полотна, восстановлениепокрытия проезжей части участка автомобильной дороги по ул. Красноармейская (от ул. Ленина до ул. Боровская) п.Майкор</t>
  </si>
  <si>
    <t>Восстановление покрытия участка автомобильной дороги по ул. Народная (от дома № 14 до дома № 10а) с. Юсьва</t>
  </si>
  <si>
    <t>11 1 40 SД110</t>
  </si>
  <si>
    <t>11 3 10 9Д060</t>
  </si>
  <si>
    <t>11 1 50 9Д040</t>
  </si>
  <si>
    <t>11 1 40 9Д030</t>
  </si>
  <si>
    <t>11 1 40 9Д031</t>
  </si>
  <si>
    <t>11 1 20 9Д023</t>
  </si>
  <si>
    <t>Обеспечение жильем молодых семей</t>
  </si>
  <si>
    <t>Организация мероприятий при осуществлении деятельности по обращению с животными без владельцев</t>
  </si>
  <si>
    <t>92 0 00 00230</t>
  </si>
  <si>
    <t>Исполнение решений судов, вступивших в законную силу, и оплата государственной пошлины</t>
  </si>
  <si>
    <t xml:space="preserve">Обеспечение деятельности  муниципального казенного учреждения «Единый сервисный центр» </t>
  </si>
  <si>
    <t>92 0 00 00600</t>
  </si>
  <si>
    <t>Обеспечение функционирования очистных сооружений в с. Юсьва</t>
  </si>
  <si>
    <t>Обеспечение выполнения функций администрации Юсьвинского муниципального округа и её структурных подразделений</t>
  </si>
  <si>
    <t>92 0 00 00450</t>
  </si>
  <si>
    <t>Аренда топливозаправщика для хранения сжиженного газа</t>
  </si>
  <si>
    <t>Монтаж системы водоснабжения (дополнительные работы) школьного образовательного учреждения на 60 мест в с.Доег Юсьвинского муниципального округа</t>
  </si>
  <si>
    <t>Актуализация схем теплоснабжения, водоснабжения и водоотведения Юсьвинского муниципального округа Пермского края, разработка программы в области энергосбережения и повышения энергетической эффективности</t>
  </si>
  <si>
    <t>92 0 00 00223</t>
  </si>
  <si>
    <t>Проведение мероприятий, приуроченных к 100-ию  Коми-Пермяцкого округа</t>
  </si>
  <si>
    <t>09 1 КК 00000</t>
  </si>
  <si>
    <t>Основное мероприятие "Региональный проект "Комфортный край"</t>
  </si>
  <si>
    <t>09 1 КК SP430</t>
  </si>
  <si>
    <t>Оборудование торговых мест торговыми прилавками</t>
  </si>
  <si>
    <t>Замена ограждений мемориальных сооружений</t>
  </si>
  <si>
    <t>10 2 20 4М097</t>
  </si>
  <si>
    <t>10 2 КК 00000</t>
  </si>
  <si>
    <t>10 2 КК SP430</t>
  </si>
  <si>
    <t>10 2 КК SP431</t>
  </si>
  <si>
    <t>Оборудование организованных мест отдыха людей у воды</t>
  </si>
  <si>
    <t>11 3 20 00000</t>
  </si>
  <si>
    <t>Основное мероприятие "Обеспечение транспортной безопасности объектов транспортной инфраструктуры"</t>
  </si>
  <si>
    <t>Разработка плана, паспорта обеспечения транспортной безопасности и подготовка сил обеспечения транспортной безопасности</t>
  </si>
  <si>
    <t xml:space="preserve">11 1 И8 00000 </t>
  </si>
  <si>
    <t>11 1 И8 54470</t>
  </si>
  <si>
    <t>12 0 И4 00000</t>
  </si>
  <si>
    <t>12 0 И4 55550</t>
  </si>
  <si>
    <t>Основное мероприятие "Региональный проект «Формирование комфортной городской среды (Пермский край)»</t>
  </si>
  <si>
    <t>06 1 КК 00000</t>
  </si>
  <si>
    <t>Основное мероприятие «Региональный проект «Комфортный край»</t>
  </si>
  <si>
    <t>06 1 КК SК310</t>
  </si>
  <si>
    <t>Муниципальная программа "Муниципальное управления в Юсьвинском муниципальном округе Пермского края"</t>
  </si>
  <si>
    <t>02  6 КК 00000</t>
  </si>
  <si>
    <t>02 6 КК SP350</t>
  </si>
  <si>
    <t>02  6 Ю4 00000</t>
  </si>
  <si>
    <t>Основное мероприятие "Региональный проект "Все лучшее детям" (Пермский край)"</t>
  </si>
  <si>
    <t>02 6 Ю4 57500</t>
  </si>
  <si>
    <t>Участие в реализации мероприятий по модернизации школьных систем образования</t>
  </si>
  <si>
    <t>02 2 Ю6 00000</t>
  </si>
  <si>
    <t>Основное мероприятие "Региональный проект "Педагоги и наставники (Пермский край)""</t>
  </si>
  <si>
    <t>02 2 Ю6 51790</t>
  </si>
  <si>
    <t>10 3 КК 00000</t>
  </si>
  <si>
    <t>10 3 КК SP410</t>
  </si>
  <si>
    <t>1.2.2.</t>
  </si>
  <si>
    <t>Мероприятие "Разработка плана, паспорта обеспечения транспортной безопасности и подготовка сил обеспечения транспортной безопасности"</t>
  </si>
  <si>
    <t>06 1 50 SK320</t>
  </si>
  <si>
    <t>Проведение мероприятий, приуроченных к 100-летию  Коми-Пермяцкого округа</t>
  </si>
  <si>
    <t>Осуществление первичного воинского учета органами местного самоуправления муниципальных и городских округов</t>
  </si>
  <si>
    <t>02 6 10 4Н100</t>
  </si>
  <si>
    <t>Приобретение и приведение в нормативное состояние автотранспорта для обеспечения бесплатного проезда обучающихся до места обучения и обратно</t>
  </si>
  <si>
    <t>02 6 10 4Н130</t>
  </si>
  <si>
    <t>Мероприятия по проведению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</si>
  <si>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Оценка технического состояния искусственных дорожных сооружений</t>
  </si>
  <si>
    <t>11 1 10 9Д011</t>
  </si>
  <si>
    <t xml:space="preserve"> Основное мероприятие "Разработка технической документации на автомобильные дороги и (или) искусственные дорожные сооружения"</t>
  </si>
  <si>
    <t>Основное мероприятие "Разработка технической документации на автомобильные дороги и (или) искусственные дорожные сооружения"</t>
  </si>
  <si>
    <t>Ремонт моста на автомобильной дороге "Бажино-Шедово"</t>
  </si>
  <si>
    <t>10 2 20 4М099</t>
  </si>
  <si>
    <t>Оборудование организованных мест отдыха людей у воды (несофинансируемые)</t>
  </si>
  <si>
    <t>Разработка ПСД на капитальный ремонт объектов общеобразовательных организаций</t>
  </si>
  <si>
    <t>02 6 10 4Н152</t>
  </si>
  <si>
    <t>Итого</t>
  </si>
  <si>
    <t>Приведение в нормативное состояние учреждений культуры и образовательных учреждений в сфере культуры</t>
  </si>
  <si>
    <t>06 1 70 4К090</t>
  </si>
  <si>
    <t xml:space="preserve">06 1 70 4К093 </t>
  </si>
  <si>
    <t>Укрепление материально-технической базы учреждений культуры</t>
  </si>
  <si>
    <t>Ремонт водопропускной трубы на автомобильной дороге "Бажино-Шедово"</t>
  </si>
  <si>
    <t xml:space="preserve">06 1 70 4К090 </t>
  </si>
  <si>
    <t>Ремонт моста через ручей на автомобильной дороге "Крохалево-Урманово-Подволошино" км 2+900</t>
  </si>
  <si>
    <t>Восстановление водопропускных труб на ул.Центральная д.Подволошино, ул.Заречная д.Усть-Пожва, ул.Березовая с.Юсьва</t>
  </si>
  <si>
    <t>Восстановление моста № 1 (возле дома № 8), № 2 (возле дома № 63) по улице Первомайская п.Майкор</t>
  </si>
  <si>
    <t>11 3 20 9Д071</t>
  </si>
  <si>
    <t>Поощрение муниципальных управленческих команд</t>
  </si>
  <si>
    <t>92 0 00 5549F</t>
  </si>
  <si>
    <t>05 0 10 4И080</t>
  </si>
  <si>
    <t>Ремонт имущества муниципальной казны</t>
  </si>
  <si>
    <t>Утверждено в бюджете</t>
  </si>
  <si>
    <t>Уточненный план</t>
  </si>
  <si>
    <t>Фактически исполнено</t>
  </si>
  <si>
    <t>% исполнения</t>
  </si>
  <si>
    <t>92 0 00 2P110</t>
  </si>
  <si>
    <t>Призовые выплаты главам муниципальных образований (победителей конкурса)</t>
  </si>
  <si>
    <t>09 2 20 4С080</t>
  </si>
  <si>
    <t>Проведение конкурса операторов машинного доения</t>
  </si>
  <si>
    <t>15 0 10 L5991</t>
  </si>
  <si>
    <t>Подготовка проектов межевания земельных участков и на проведение кадастровых работ (Подготовлены проекты межевания земельных участков, выделяемых в счет невостребованных земельных долей, находящихся в собственности муниципальных образований)</t>
  </si>
  <si>
    <t>15 0 10 L5992</t>
  </si>
  <si>
    <t>Подготовка проектов межевания земельных участков и на проведение кадастровых работ (Осуществлен государственный кадастровый учет земельных участков, государственная собственность на которые не разграничена, из состава земель сельскохозяйственного назначения и земельных участков, выделяемых в счет невостребованных земельных долей, находящихся в собственности муниципальных образований)</t>
  </si>
  <si>
    <t>за счет средств федерального бюджета</t>
  </si>
  <si>
    <t>10 2 КК SP432</t>
  </si>
  <si>
    <t>Устройство, ремонт тротуаров и (или) сетей уличного освещения, не входящих в состав автомобильных дорог общего пользования местного значения в границах населенного пункта, по приоритетному проекту "Наша улица" региональной программы "Комфортный край"</t>
  </si>
  <si>
    <t>02 2 30 SН070</t>
  </si>
  <si>
    <t>Строительство образовательного учреждения на 60 мест в с. Доег Юсьвинского муниципального округа</t>
  </si>
  <si>
    <t>02 2 20 23930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</si>
  <si>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</si>
  <si>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02 2 20 2Н420</t>
  </si>
  <si>
    <t>02 2 Ю6 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</si>
  <si>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</si>
  <si>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 2 Ю6 53030</t>
  </si>
  <si>
    <t>02 8 00 00000</t>
  </si>
  <si>
    <t>Подпрограмма "Обеспечение реализации государственной программы и прочие мероприятия в области образования"</t>
  </si>
  <si>
    <t>02 8 10 00000</t>
  </si>
  <si>
    <t>Единовременная премия обучающимся, награжденным знаком отличия Пермского края "Гордость Пермского края"</t>
  </si>
  <si>
    <t>02 8 10 2Н440</t>
  </si>
  <si>
    <t>том числе за счет краевого бюджета</t>
  </si>
  <si>
    <t>07 0 20 00000</t>
  </si>
  <si>
    <t>Основное мероприятие "Развитие и укрепление материально-технической базы объектов спорта на территории Юсьвинского муниципального округа Пермского края"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</si>
  <si>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</t>
  </si>
  <si>
    <t>07 0 20 SФ130</t>
  </si>
  <si>
    <t>в том числе за счет внебюджетных источников</t>
  </si>
  <si>
    <t>06 1 50 SK322</t>
  </si>
  <si>
    <t>Приложение 3</t>
  </si>
  <si>
    <t>к  решению Думы Юсьвинского муниципального округа Пермского края</t>
  </si>
  <si>
    <t>(тыс. рублей)</t>
  </si>
  <si>
    <t>Раздел, Подраздел</t>
  </si>
  <si>
    <t>Наименование раздела, подраздела</t>
  </si>
  <si>
    <t>Кассовый расход</t>
  </si>
  <si>
    <t>Другие общегосударственные вопросы</t>
  </si>
  <si>
    <t>Итого по разделу 01</t>
  </si>
  <si>
    <t>Итого по разделу 02</t>
  </si>
  <si>
    <t>Защита населения и территории от чрезвычайных ситуаций природного и техногенного характера, гражданская оборона</t>
  </si>
  <si>
    <t>Итого по разделу 03</t>
  </si>
  <si>
    <t>Итого по разделу 04</t>
  </si>
  <si>
    <t>Итого по разделу 05</t>
  </si>
  <si>
    <t>Итого по разделу 06</t>
  </si>
  <si>
    <t>Молодежная политика и оздоровление детей</t>
  </si>
  <si>
    <t>Итого по разделу 07</t>
  </si>
  <si>
    <t>Итого по разделу 08</t>
  </si>
  <si>
    <t>1004</t>
  </si>
  <si>
    <t>Итого по разделу 10</t>
  </si>
  <si>
    <t>Итого по разделу 11</t>
  </si>
  <si>
    <t>1202</t>
  </si>
  <si>
    <t>Итого по разделу 12</t>
  </si>
  <si>
    <t>ВСЕГО</t>
  </si>
  <si>
    <t>к решению Думы Юсьвинского муниципального округа Пермского края</t>
  </si>
  <si>
    <t>(тыс.рублей)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</si>
  <si>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</si>
  <si>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</si>
  <si>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-</t>
  </si>
  <si>
    <t>Размер и структура муниципального</t>
  </si>
  <si>
    <t xml:space="preserve"> </t>
  </si>
  <si>
    <t>Наименование обязательств</t>
  </si>
  <si>
    <t>Основной долг</t>
  </si>
  <si>
    <t>Кредитные соглашения и договоры</t>
  </si>
  <si>
    <t>Муниципальные гарантии</t>
  </si>
  <si>
    <t>ИТОГО</t>
  </si>
  <si>
    <t xml:space="preserve"> Приложение 6</t>
  </si>
  <si>
    <t xml:space="preserve"> Программа</t>
  </si>
  <si>
    <t>Внутренние заимствования</t>
  </si>
  <si>
    <t>Сумма</t>
  </si>
  <si>
    <t>Соглашения и договоры о получении Юсьвинским муниципальным округом Пермского края бюджетных ссуд и бюджетных кредитов от бюджетов других уровней бюджетной системы</t>
  </si>
  <si>
    <t>Привлечение средств</t>
  </si>
  <si>
    <t>Погашение задолженности</t>
  </si>
  <si>
    <t>Приложение 7</t>
  </si>
  <si>
    <t>Программа</t>
  </si>
  <si>
    <t>муниципальных гарантий Юсьвинского муниципального округа Пермского края в 2025 году</t>
  </si>
  <si>
    <t xml:space="preserve">Наименование параметра              </t>
  </si>
  <si>
    <t xml:space="preserve">1. Предоставление муниципальных гарантий в очередном финансовом году с правом регрессного требования    </t>
  </si>
  <si>
    <t xml:space="preserve">2. Объем бюджетных ассигнований на исполнение   гарантий по возможным гарантийным случаям             </t>
  </si>
  <si>
    <t xml:space="preserve">2.1. В том числе с правом регрессного требования за счет источников финансирования дефицита бюджета    </t>
  </si>
  <si>
    <t>Справочно</t>
  </si>
  <si>
    <t>Наименование муниципальной  программы</t>
  </si>
  <si>
    <t>Объем финансирования</t>
  </si>
  <si>
    <t>Объемы финансирования</t>
  </si>
  <si>
    <t>Оценка эффективности муниципальной программы</t>
  </si>
  <si>
    <t>%</t>
  </si>
  <si>
    <t>результат</t>
  </si>
  <si>
    <t>план</t>
  </si>
  <si>
    <t>факт</t>
  </si>
  <si>
    <t>высокий уровень эффективности</t>
  </si>
  <si>
    <t>Удовлетворительный уровень эффективности</t>
  </si>
  <si>
    <t>Муниципальная программа "Экономическое развитие Юсьвинского муниципальнгого округа Пермского края"</t>
  </si>
  <si>
    <t>отклонения плана</t>
  </si>
  <si>
    <t>Публикация в средствах массовой информации</t>
  </si>
  <si>
    <t>Строительство школьного образовательного учреждения на 60 мест в с.Доег Юсьвинского муниципального округа</t>
  </si>
  <si>
    <t>ОТЧЕТ</t>
  </si>
  <si>
    <t>о расходах на содержание органов местного самоуправления Юсьвинского муниципального округа Пермского края</t>
  </si>
  <si>
    <t>Наименование органа</t>
  </si>
  <si>
    <t>Фактический расход</t>
  </si>
  <si>
    <t>Доля расходов в общей сумме расходов на содержание ОМС, %</t>
  </si>
  <si>
    <t>Всего расходов окружного бюджета</t>
  </si>
  <si>
    <t>Всего расходов на содержание органов местного самоуправления</t>
  </si>
  <si>
    <t>Доля расходов на содержание ОМСУ в общих расходах</t>
  </si>
  <si>
    <t>Администрация Юсьвинского муниципального округа Пермского края, в том числе:</t>
  </si>
  <si>
    <t>012104У060</t>
  </si>
  <si>
    <t>Обеспечение выполнения функций главы округа - главы администрации Юсьвинского муниципального округа</t>
  </si>
  <si>
    <t>012104У070</t>
  </si>
  <si>
    <t>Обеспечение выполнения функций администрации Юсьвинского муниципального округа и её самостоятельных структурных подразделений</t>
  </si>
  <si>
    <t>011204У020</t>
  </si>
  <si>
    <t>Программное обеспечение, сопровождение информационных систем, приобретение  компьютерной и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</si>
  <si>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Обеспечение функционирования официального сайта администрации , предоставление информационных услуг</t>
  </si>
  <si>
    <t>015104У092</t>
  </si>
  <si>
    <t>015104У093</t>
  </si>
  <si>
    <t>9200000220</t>
  </si>
  <si>
    <t>Расходы на обеспечение деятельности муниципального казённого учреждения "Единый сервисный центр"</t>
  </si>
  <si>
    <t>9200000260</t>
  </si>
  <si>
    <t>9200000270</t>
  </si>
  <si>
    <t>Дума Юсьвинского муниципального округа Пермского края, в том числе</t>
  </si>
  <si>
    <t>9100000021</t>
  </si>
  <si>
    <t>Депутаты Думы Юсьвинского муниципального округа Пермского края</t>
  </si>
  <si>
    <t>9100000031</t>
  </si>
  <si>
    <t xml:space="preserve">Расходы на обеспечение деятельности Аппарата  Думы Юсьвинского муниципального округа Пермского края </t>
  </si>
  <si>
    <t xml:space="preserve">Финансовое управление администрации Юсьвинского муниципального округа, в том числе:                                  </t>
  </si>
  <si>
    <t>Управление образования администрации Юсьвинского муниципального округа Пермского края, в том числе</t>
  </si>
  <si>
    <t>Отдел культуры, молодежной политики и спорта администрации Юсьвинского муниципального округа Пермского края, в том числе</t>
  </si>
  <si>
    <t>к решению  Думы Юсьвинского муниципального округа Пермского края</t>
  </si>
  <si>
    <t>(рублей)</t>
  </si>
  <si>
    <t>Наименование распорядителей, получателей бюджетных средств</t>
  </si>
  <si>
    <t>Основание для выделения средств (распоряжение)</t>
  </si>
  <si>
    <t>Наименование расходов</t>
  </si>
  <si>
    <t>Выделено        средств</t>
  </si>
  <si>
    <t>Фактически использовано (кассовый расход)</t>
  </si>
  <si>
    <t>Дата</t>
  </si>
  <si>
    <t>№  документа</t>
  </si>
  <si>
    <t xml:space="preserve">Проведение траурного мероприятия по захоронению военнослужащего, погибшего в ходе специальной военной операции </t>
  </si>
  <si>
    <t>Материальная помощь пострадавшим от пожара</t>
  </si>
  <si>
    <t>01-р</t>
  </si>
  <si>
    <t>67-р</t>
  </si>
  <si>
    <t>195-р</t>
  </si>
  <si>
    <t xml:space="preserve">Итого: </t>
  </si>
  <si>
    <t>Остаток средств:</t>
  </si>
  <si>
    <t xml:space="preserve">Остаток неиспользованных средств дорожного фонда по состоянию на 01.01.2025 г. </t>
  </si>
  <si>
    <t>Отклонение</t>
  </si>
  <si>
    <t xml:space="preserve">Справочно </t>
  </si>
  <si>
    <t>Отчет об исполнении инвестиционных проектов</t>
  </si>
  <si>
    <t>Юсьвинского муниципального округа Пермского края</t>
  </si>
  <si>
    <t>руб., коп.</t>
  </si>
  <si>
    <t>Наименование и место нахождение объекта*</t>
  </si>
  <si>
    <t>Сроки строительства (реконструкции)</t>
  </si>
  <si>
    <t>Мощность</t>
  </si>
  <si>
    <t>Сметная стоимость объекта</t>
  </si>
  <si>
    <t>Фактическое финансирование</t>
  </si>
  <si>
    <t>по ПСД</t>
  </si>
  <si>
    <t>в текущих ценах</t>
  </si>
  <si>
    <t>Кт</t>
  </si>
  <si>
    <t>Дт</t>
  </si>
  <si>
    <t>за счет средств внебюджетных источников</t>
  </si>
  <si>
    <t>всего за период строительства (реконструкции), разработки документации</t>
  </si>
  <si>
    <t>в том числе за отчетный период</t>
  </si>
  <si>
    <t>2022-2024</t>
  </si>
  <si>
    <t>60 мест</t>
  </si>
  <si>
    <t>0</t>
  </si>
  <si>
    <t>Строительство Купросского сельского дома культуры на 50 мест в с.Купрос Юсьвинского муниципального округа Пермского края</t>
  </si>
  <si>
    <t>50 мест</t>
  </si>
  <si>
    <t>Х</t>
  </si>
  <si>
    <t>Наименование объектов</t>
  </si>
  <si>
    <t>Утверждено</t>
  </si>
  <si>
    <t>Наименование государственных программ</t>
  </si>
  <si>
    <t>Процент исполнения</t>
  </si>
  <si>
    <t>Остаток неиспользованных средств</t>
  </si>
  <si>
    <t>1</t>
  </si>
  <si>
    <t>федеральный бюджет</t>
  </si>
  <si>
    <t>краевой бюджет</t>
  </si>
  <si>
    <t>местный бюджет</t>
  </si>
  <si>
    <t>3</t>
  </si>
  <si>
    <t>Итого на реализацию национальных проектов</t>
  </si>
  <si>
    <t>"Об утверждении отчета об исполнении бюджета Юсьвинского муниципального округа Пермского края за 2025 год"</t>
  </si>
  <si>
    <t>"Об утверждении отчета об исполнении бюджета Юсьвинского муниципального округа Пермского края  за 2025 год"</t>
  </si>
  <si>
    <t>долга Юсьвинского муниципального округа Пермского края по состоянию на 1 января 2026 года</t>
  </si>
  <si>
    <t>муниципальных внутренних заимствований Юсьвинского муниципального округа Пермского края за 2025 год</t>
  </si>
  <si>
    <t xml:space="preserve">Информация о выполнении муниципальных программ Юсьвинского муниципального округа Пермского края за 2025 год </t>
  </si>
  <si>
    <t>за 2025 год</t>
  </si>
  <si>
    <t>011204У040</t>
  </si>
  <si>
    <t>9100000033</t>
  </si>
  <si>
    <t xml:space="preserve">Отчёт об использовании бюджетных ассигнований резервного фонда администрации Юсьвинского муниципального округа Пермского края за 2025 год
</t>
  </si>
  <si>
    <t>Предусмотрено в бюджете на 2025 год</t>
  </si>
  <si>
    <t>05-р</t>
  </si>
  <si>
    <t>Приобретение фекального насоса с пультом управления для обеспечения  бесперебойного водоотведения с многоквартирных домов</t>
  </si>
  <si>
    <t>02-р</t>
  </si>
  <si>
    <t>653-р</t>
  </si>
  <si>
    <t>700-р</t>
  </si>
  <si>
    <t>42-р</t>
  </si>
  <si>
    <t>43-р</t>
  </si>
  <si>
    <t>43/1-р</t>
  </si>
  <si>
    <t>107-р</t>
  </si>
  <si>
    <t>107/1-р</t>
  </si>
  <si>
    <t>113-р</t>
  </si>
  <si>
    <t>122-р</t>
  </si>
  <si>
    <t>143-р</t>
  </si>
  <si>
    <t>157-р</t>
  </si>
  <si>
    <t>163-р</t>
  </si>
  <si>
    <t>163/1-р</t>
  </si>
  <si>
    <t>193-р</t>
  </si>
  <si>
    <t>200-р</t>
  </si>
  <si>
    <t>224-р</t>
  </si>
  <si>
    <t>224/1-р</t>
  </si>
  <si>
    <t>244-р</t>
  </si>
  <si>
    <t>252-р</t>
  </si>
  <si>
    <t>304-р</t>
  </si>
  <si>
    <t>326-р</t>
  </si>
  <si>
    <t>326/1-р</t>
  </si>
  <si>
    <t>336-р</t>
  </si>
  <si>
    <t>360-р</t>
  </si>
  <si>
    <t>358-р</t>
  </si>
  <si>
    <t>352-р</t>
  </si>
  <si>
    <t>371-р</t>
  </si>
  <si>
    <t>376-р</t>
  </si>
  <si>
    <t>392-р</t>
  </si>
  <si>
    <t>394-р</t>
  </si>
  <si>
    <t>417-р</t>
  </si>
  <si>
    <t>424-р</t>
  </si>
  <si>
    <t>431-р</t>
  </si>
  <si>
    <t>438-р</t>
  </si>
  <si>
    <t>427-р</t>
  </si>
  <si>
    <t>444-р</t>
  </si>
  <si>
    <t>469-р</t>
  </si>
  <si>
    <t>475-р</t>
  </si>
  <si>
    <t>475/1-р</t>
  </si>
  <si>
    <t>465-р</t>
  </si>
  <si>
    <t>487-р</t>
  </si>
  <si>
    <t>502-р</t>
  </si>
  <si>
    <t>516-р</t>
  </si>
  <si>
    <t>517-р</t>
  </si>
  <si>
    <t>533-р</t>
  </si>
  <si>
    <t>555-р</t>
  </si>
  <si>
    <t>585-р</t>
  </si>
  <si>
    <t>585/1-р</t>
  </si>
  <si>
    <t>600-р</t>
  </si>
  <si>
    <t>600/1-р</t>
  </si>
  <si>
    <t>613-р</t>
  </si>
  <si>
    <t>630-р</t>
  </si>
  <si>
    <t>617-р</t>
  </si>
  <si>
    <t>Приобретение глубинных насосов</t>
  </si>
  <si>
    <t>Отчет об использовании бюджетных ассигнований дорожного фонда Юсьвинского муниципального округа Персмского края за 2025 год</t>
  </si>
  <si>
    <t>Поступило на 01.01.2026</t>
  </si>
  <si>
    <t>Кассовый расход на 01.01.2026</t>
  </si>
  <si>
    <t>Восстановительные работы по мосту на автомобильной дороге "Габово-Купрос" км 25+730</t>
  </si>
  <si>
    <t xml:space="preserve">Остаток неиспользованных средств дорожного фонда по состоянию на 01.01.2026 г. </t>
  </si>
  <si>
    <t>Объем бюджетных ассигнований на осуществление бюджетных инвестиций в объекты капитального строительства муниципальной собственности за 2025 год</t>
  </si>
  <si>
    <t>о реализации национальных проектов за 2025 год</t>
  </si>
  <si>
    <t>Национальный проект "Молодежь и дети"</t>
  </si>
  <si>
    <t>Национальный проект "Инфраструктура для жизни"</t>
  </si>
  <si>
    <t>14 0 И2 00000</t>
  </si>
  <si>
    <t>Основное мероприятие «Реализация федерального проекта «Жилье»</t>
  </si>
  <si>
    <t>14 0 И2 67483</t>
  </si>
  <si>
    <t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 (за счет безвозмездных поступленний от ППК "Фонд развития территорий")</t>
  </si>
  <si>
    <t>14 0 И2 67484</t>
  </si>
  <si>
    <t>14 0 И2 6748S</t>
  </si>
  <si>
    <t>Переселение граждан из аварийного жилищного фонда, признанного аварийным после 1 января 2017 года на территории Юсьвинского муниципального округа Пермского края (МБ)</t>
  </si>
  <si>
    <t>Муниципальная программа "Переселение граждан и снос ветхих (аварийных) домов на территории Юсьвинского муниципального округа Пермского края"</t>
  </si>
  <si>
    <t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</t>
  </si>
  <si>
    <t>Остаток сметной стоимости объекта на 01.01.2025</t>
  </si>
  <si>
    <t>Уточненный план на 2025 год</t>
  </si>
  <si>
    <t>2024-2026</t>
  </si>
  <si>
    <t>% готовности объекта на 01.01.2026</t>
  </si>
  <si>
    <t xml:space="preserve">СПРАВОЧНО
Фактическое финансирование объектов, не введенных в эксплуатацию до 31.12.2025 года, с момента начала строительства </t>
  </si>
  <si>
    <t>Задолженность на 01.01.2025</t>
  </si>
  <si>
    <t>Приложение 1</t>
  </si>
  <si>
    <t>"Об утверждении отчета об исполнению бюджета Юсьвинского муниципального округа Пермского края за 2025 год"</t>
  </si>
  <si>
    <t>Доходы  бюджета Юсьвинского муниципального округа за 2025 год по кодам классификации доходов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</si>
  <si>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</si>
  <si>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</si>
  <si>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2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</si>
  <si>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</si>
  <si>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</si>
  <si>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</si>
  <si>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</si>
  <si>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</si>
  <si>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</si>
  <si>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</si>
  <si>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 xml:space="preserve">1 01 02 010 01 0000 110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</si>
  <si>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</si>
  <si>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1 01 02 020 01 0000 110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</si>
  <si>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</si>
  <si>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1 01 02 030 01 0000 110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</si>
  <si>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</si>
  <si>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1 01 02 040 01 0000 110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</si>
  <si>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</si>
  <si>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1 01 02 080 01 0000 110 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</si>
  <si>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</si>
  <si>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1 01 02 130 01 0000 110 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</si>
  <si>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</si>
  <si>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 xml:space="preserve">1 01 02 210 01 0000 110 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</si>
  <si>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</si>
  <si>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1 01 02 230 01 0000 110 </t>
  </si>
  <si>
    <t>Налог на доходы физических лиц в части суммы налога, превышающей 650 тысяч рублей, относящейся к налоговой базе, указанной в пункте 62 статьи 210 Налогового кодекса Российской Федерации, превышающей 5 миллионов рублей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</si>
  <si>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</si>
  <si>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</si>
  <si>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</si>
  <si>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</si>
  <si>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1 03 02 231 01 0000 110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</si>
  <si>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</si>
  <si>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</si>
  <si>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</si>
  <si>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1 03 02 251 01 0000 110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</si>
  <si>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</si>
  <si>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1 03 02 261 01 0000 110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</si>
  <si>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</si>
  <si>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1 05 00 000 00 0000 000 </t>
  </si>
  <si>
    <t>НАЛОГИ НА СОВОКУПНЫЙ ДОХОД</t>
  </si>
  <si>
    <t>1 05 01 000 01 0000 110</t>
  </si>
  <si>
    <t>Налог, взимаемый в связи с применением упрощенной системы налогообложения</t>
  </si>
  <si>
    <t>1 05 01 011 01 0000 110</t>
  </si>
  <si>
    <t>Налог, взимаемый с налогоплательщиков, выбравших в качестве объекта налогообложения доходы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</si>
  <si>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</si>
  <si>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</si>
  <si>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1 05 02 000 02 0000 110 </t>
  </si>
  <si>
    <t>Единый налог на вмененный доход для отдельных видов деятельности</t>
  </si>
  <si>
    <t xml:space="preserve">1 05 02 010 02 0000 110 </t>
  </si>
  <si>
    <t xml:space="preserve">1 05 03 000 01 0000 110 </t>
  </si>
  <si>
    <t>Единый сельскохозяйственный налог</t>
  </si>
  <si>
    <t xml:space="preserve">1 05 03 010 01 0000 110 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</si>
  <si>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</si>
  <si>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</si>
  <si>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1 05 04 060 02 0000 110 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</si>
  <si>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</si>
  <si>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1 06 00 000 00 0000 000 </t>
  </si>
  <si>
    <t>НАЛОГИ НА ИМУЩЕСТВО</t>
  </si>
  <si>
    <t>﻿1 06 01000 00 0000 110</t>
  </si>
  <si>
    <t>﻿Налог на имущество физических лиц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</si>
  <si>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</si>
  <si>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</si>
  <si>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1 06 06000 00 0000 110</t>
  </si>
  <si>
    <t>Земельный налог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</si>
  <si>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</si>
  <si>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</si>
  <si>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</si>
  <si>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</si>
  <si>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</si>
  <si>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</si>
  <si>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</si>
  <si>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</si>
  <si>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1 08 03 010 01 0000 110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</si>
  <si>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</si>
  <si>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</si>
  <si>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</si>
  <si>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1 08 04 020 01 0000 110 </t>
  </si>
  <si>
    <t>﻿Государственная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</si>
  <si>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</si>
  <si>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</si>
  <si>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</si>
  <si>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</si>
  <si>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</si>
  <si>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1 11 05 012 14 0000 120 </t>
  </si>
  <si>
    <t>﻿Доходы,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</si>
  <si>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1 11 05 024 14 0000 120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</si>
  <si>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</si>
  <si>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1 11 05 034 14 0000 120 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</si>
  <si>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</si>
  <si>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</si>
  <si>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</si>
  <si>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1 11 05 312 14 0000 120 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</si>
  <si>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</si>
  <si>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1 11 05 324 14 0000 120 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</si>
  <si>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округов</t>
  </si>
  <si>
    <t xml:space="preserve">1 11 05 410 14 0000 120 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</si>
  <si>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</si>
  <si>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 xml:space="preserve">1 11 05 430 14 0000 120 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</si>
  <si>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в границах муниципальных округов,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</si>
  <si>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 xml:space="preserve">1 11 09000 00 0000 120
</t>
  </si>
  <si>
    <t>﻿Прочие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</si>
  <si>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1 11 09 044 14 0000 120 </t>
  </si>
  <si>
    <t>Прочие поступления от использования имущества, находящегося в государственной и муниципальной собственности муниципальных округов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</si>
  <si>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1 12 00 000 00 0000 000 </t>
  </si>
  <si>
    <t>ПЛАТЕЖИ ПРИ ПОЛЬЗОВАНИИ ПРИРОДНЫМИ РЕСУРСАМИ</t>
  </si>
  <si>
    <t xml:space="preserve">1 12 01 000 01 0000 120 </t>
  </si>
  <si>
    <t>Плата за негативное воздействие на окружающую среду</t>
  </si>
  <si>
    <t xml:space="preserve">1 12 01 010 01 0000 120 </t>
  </si>
  <si>
    <t>Плата за выбросы загрязняющих веществ в атмосферный воздух стационарными объектами</t>
  </si>
  <si>
    <t xml:space="preserve">1 12 01 030 01 0000 120 </t>
  </si>
  <si>
    <t>Плата за сбросы загрязняющих веществ в водные объекты</t>
  </si>
  <si>
    <t xml:space="preserve">1 12 01 041 01 0000 120 </t>
  </si>
  <si>
    <t>Плата за размещение отходов производства</t>
  </si>
  <si>
    <t xml:space="preserve">1 12 01 042 01 0000 120 </t>
  </si>
  <si>
    <t>Плата за размещение твердых коммунальных отходов</t>
  </si>
  <si>
    <t xml:space="preserve">1 12 01 070 01 0000 120 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</si>
  <si>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</si>
  <si>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</si>
  <si>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</si>
  <si>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</si>
  <si>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</si>
  <si>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 xml:space="preserve">1 13 01 994 14 0000 130 </t>
  </si>
  <si>
    <t>Прочие доходы от оказания платных услуг (работ) получателями средств бюджетов муниципальных округов</t>
  </si>
  <si>
    <t xml:space="preserve">1 13 02 000 00 0000 130 </t>
  </si>
  <si>
    <t>Доходы от компенсации затрат государства</t>
  </si>
  <si>
    <t xml:space="preserve">1 13 02 064 14 0000 130 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</si>
  <si>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</si>
  <si>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1 13 02 994 14 0000 130 </t>
  </si>
  <si>
    <t>Прочие доходы от компенсации затрат бюджетов муниципальных округов</t>
  </si>
  <si>
    <t xml:space="preserve">1 14 00 000 00 0000 000 </t>
  </si>
  <si>
    <t>ДОХОДЫ ОТ ПРОДАЖИ МАТЕРИАЛЬНЫХ И НЕМАТЕРИАЛЬНЫХ АКТИВОВ</t>
  </si>
  <si>
    <t xml:space="preserve">﻿1 14 02000 00 0000 000
</t>
  </si>
  <si>
    <t xml:space="preserve">﻿Доходы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</si>
  <si>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﻿1 14 02043 14 0000 410
</t>
  </si>
  <si>
    <t xml:space="preserve"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</si>
  <si>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>﻿1 14 02043 14 0000 440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</si>
  <si>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</si>
  <si>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1 14 06 000 00 0000 430 </t>
  </si>
  <si>
    <t>Доходы от продажи земельных участков, находящихся в государственной и муниципальной собственности</t>
  </si>
  <si>
    <t xml:space="preserve">1 14 06 012 14 0000 430 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</si>
  <si>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</si>
  <si>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1 14 06 024 14 0000 430 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</si>
  <si>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</si>
  <si>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1 16 00 000 00 0000 000 </t>
  </si>
  <si>
    <t>ШТРАФЫ, САНКЦИИ, ВОЗМЕЩЕНИЕ УЩЕРБА</t>
  </si>
  <si>
    <t xml:space="preserve">﻿1 16 01 053 01 0000 140
</t>
  </si>
  <si>
    <t>﻿Административные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</si>
  <si>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﻿1 16 01 063 01 0000 140
</t>
  </si>
  <si>
    <t>﻿Административные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</si>
  <si>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﻿1 16 01 073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</si>
  <si>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</si>
  <si>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﻿1 16 01 083 01 0000 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</si>
  <si>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</si>
  <si>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﻿1 16 01 133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</si>
  <si>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</si>
  <si>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﻿1 16 01 143 01 0000 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</si>
  <si>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</si>
  <si>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﻿1 16 01 153 01 0000 140
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</si>
  <si>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</si>
  <si>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﻿1 16 01 173 01 0000 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</si>
  <si>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</si>
  <si>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﻿1 16 01 193 01 0000 140
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</si>
  <si>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</si>
  <si>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﻿1 16 01 194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</si>
  <si>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</si>
  <si>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 xml:space="preserve">﻿1 16 01 203 01 0000 140
</t>
  </si>
  <si>
    <t>﻿Административные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</si>
  <si>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﻿1 16 01 333 01 0000 140
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</si>
  <si>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</si>
  <si>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﻿1 16 02 020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</si>
  <si>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</si>
  <si>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116 07 090 14 0000 140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</si>
  <si>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</si>
  <si>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116 10 032 14 0000 140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</si>
  <si>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</si>
  <si>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﻿1 16 11 050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</si>
  <si>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</si>
  <si>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1 17 01 000 00 0000 000</t>
  </si>
  <si>
    <t>НЕВЫЯСНЕННЫЕ ПОСТУПЛЕНИЯ</t>
  </si>
  <si>
    <t>1 17 01 040 14 0000 180</t>
  </si>
  <si>
    <t>Невыясненные поступления, зачисляемые в бюджеты муниципальных округов</t>
  </si>
  <si>
    <t>1 17 05 000 00 0000 000</t>
  </si>
  <si>
    <t>ПРОЧИЕ НЕНАЛОГОВЫЕ ДОХОДЫ</t>
  </si>
  <si>
    <t>1 17 05 040 14 0000 180</t>
  </si>
  <si>
    <t>Прочие неналоговые доходы бюджетов муниципальных округов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</si>
  <si>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</si>
  <si>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</si>
  <si>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</si>
  <si>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</si>
  <si>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</si>
  <si>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</si>
  <si>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</si>
  <si>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</si>
  <si>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</si>
  <si>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</si>
  <si>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 xml:space="preserve">2 02 15 001 14 0000 150 </t>
  </si>
  <si>
    <t xml:space="preserve">Дотации бюджетам муниципальных округов на выравнивание бюджетной обеспеченности </t>
  </si>
  <si>
    <t xml:space="preserve">2 02 16 549 14 0000 150 </t>
  </si>
  <si>
    <t>Дотации (гранты) бюджетам муниципальных округов за достижение показателей деятельности органов местного самоуправления</t>
  </si>
  <si>
    <t xml:space="preserve">2 02 19 999 14 0000 150 </t>
  </si>
  <si>
    <t>Прочие дотации бюджетам муниципальных округов</t>
  </si>
  <si>
    <t xml:space="preserve">Иные дотации бюджетам муниципальных образований на стимулирование муниципальных образований к росту доходов </t>
  </si>
  <si>
    <t>Иные дотации на стимулирование к увеличению численности самозанятых граждан</t>
  </si>
  <si>
    <t xml:space="preserve">2 02 20 000 00 0000 000 </t>
  </si>
  <si>
    <t>Субсидии бюджетам бюджетной системы Российской Федерации (межбюджетные субсидии)</t>
  </si>
  <si>
    <t>2 02 20 077 00 0000 150</t>
  </si>
  <si>
    <t>Субсидии бюджетам на софинансирование капитальных вложений в объекты муниципальной собственности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</si>
  <si>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</si>
  <si>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</si>
  <si>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на реализацию приоритетного проекта "Новый клуб" программы "Комфортный край"</t>
  </si>
  <si>
    <t xml:space="preserve">2 02 25 447 00 0000 150 </t>
  </si>
  <si>
    <t>Субсидии бюджетам на приведение в нормативное состояние автомобильных дорог и искусственных дорожных сооружений</t>
  </si>
  <si>
    <t xml:space="preserve">2 02 25 447 14 0000 150 </t>
  </si>
  <si>
    <t xml:space="preserve">2 02 25 467 00 0000 150 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</si>
  <si>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</si>
  <si>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2 02 25 467 14 0000 150 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</si>
  <si>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</si>
  <si>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2 02 25 497 00 0000 150 </t>
  </si>
  <si>
    <t>Субсидии бюджетам на реализацию мероприятий по обеспечению жильем молодых семей</t>
  </si>
  <si>
    <t xml:space="preserve">2 02 25 497 14 0000 150 </t>
  </si>
  <si>
    <t>Субсидии бюджетам муниципальных округов на реализацию мероприятий по обеспечению жильем молодых семей</t>
  </si>
  <si>
    <t>2 02 25 555 00 0000 150</t>
  </si>
  <si>
    <t>Субсидии бюджетам на реализацию программ формирования современной городской среды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</si>
  <si>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</si>
  <si>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</si>
  <si>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Субсидии на реализацию программ формирования современной городской среды (Реализованы мероприятия по благоустройству общественных территорий (набережные, центральные площади, парки и др.) и иные мероприятия, предусмотренные государственными (муниципальными) программами формирования современной городской среды)</t>
  </si>
  <si>
    <t>﻿2 02 25 576 00 0000 150</t>
  </si>
  <si>
    <t>Субсидии бюджетам на обеспечение комплексного развития сельских территорий</t>
  </si>
  <si>
    <t>﻿2 02 25 576 14 0000 150</t>
  </si>
  <si>
    <t>Субсидии бюджетам муниципальных округов на обеспечение комплексного развития сельских территорий</t>
  </si>
  <si>
    <t xml:space="preserve">Субсидии бюджетам муниципальных образований на реализацию мероприятий, направленных на комплексное развитие сельских территорий (благоустройство сельских территорий) </t>
  </si>
  <si>
    <t>﻿2 02 25 599 00 0000 150</t>
  </si>
  <si>
    <t>Субсидии бюджетам на подготовку проектов межевания земельных участков и на проведение кадастровых работ</t>
  </si>
  <si>
    <t>﻿2 02 25 599 14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</si>
  <si>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</si>
  <si>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﻿2 02 25 750 00 0000 150</t>
  </si>
  <si>
    <t>Субсидии бюджетам на реализацию мероприятий по модернизации школьных систем образования</t>
  </si>
  <si>
    <t>﻿2 02 25 750 14 0000 150</t>
  </si>
  <si>
    <t>Субсидии бюджетам муниципальных округов на реализацию мероприятий по модернизации школьных систем образования</t>
  </si>
  <si>
    <t xml:space="preserve">2 02 29 999 14 0000 150 </t>
  </si>
  <si>
    <t>Прочие субсидии бюджетам муниципальных округов</t>
  </si>
  <si>
    <t>Субсидии бюджетам муниципальных образований на организацию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</si>
  <si>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Субсидии на снос расселенных жилых домов и нежилых зданий (сооружений), расположенных на территории муниципальных образований Пермского края</t>
  </si>
  <si>
    <t>Субсидии бюджетам муниципальных образований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</si>
  <si>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 xml:space="preserve">Субсидии бюджетам муниципальных образований на выплаты материального стимулирования народным дружинникам за участие в охране общественного порядка </t>
  </si>
  <si>
    <t>Субсидии бюджетам муниципальных образований на разработку проектов межевания территории и проведение комплексных кадастровых работ</t>
  </si>
  <si>
    <t>Субсидия бюджетам муниципальных образований на устройство спортивных площадок и оснащение объектов спортивным оборудованием и инвентарем для занятия физической культурой и спортом</t>
  </si>
  <si>
    <t>Субсидия на реализацию программы "Комфортный край"</t>
  </si>
  <si>
    <t>Субсидия на поддержку муниципальных программ формирования современной городской среды (дворовые и общественные территории)</t>
  </si>
  <si>
    <t>Субсидии на софинансирование проектов инициативного бюджетирования</t>
  </si>
  <si>
    <t>Субсидия на подготовку и проведение празднования на краевом уровне памятных дат</t>
  </si>
  <si>
    <t>Субсидия на реализацию мероприятия "Умею плавать!"</t>
  </si>
  <si>
    <t>Субсидия на 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</t>
  </si>
  <si>
    <t>Безвозмездные поступления в бюджеты субъектов Российской Федерации от публично-правовой компании "Фонд развития территорий" на обеспечение мероприятий по переселению граждан из жилищного фонда на территории Пермского края, признанного аварийного после 1 января 2017 года</t>
  </si>
  <si>
    <t>Субсидия на мероприятия по расселению жилищного фонда, признанного аварийным после 01 января 2017 г., в т.ч. в целях предотвращения ЧС</t>
  </si>
  <si>
    <t xml:space="preserve">2 02 30 000 00 0000 150 </t>
  </si>
  <si>
    <t>Субвенции бюджетам бюджетной системы Российской Федерации</t>
  </si>
  <si>
    <t xml:space="preserve">2 02 30 024 14 0000 150 </t>
  </si>
  <si>
    <t>﻿Субвенции бюджетам муниципальных округов на выполнение передаваемых полномочий субъектов Российской Федерации</t>
  </si>
  <si>
    <t>Единая субвенция бюджетам муниципальных образований на выполнение отдельных государственных полномочий в сфере образования</t>
  </si>
  <si>
    <t>Субвенции бюджетам муниципальных образований на образование комиссий по делам несовершеннолетних и защите их прав и организация их деятельности</t>
  </si>
  <si>
    <t>Субвенции бюджетам муниципальных образований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</si>
  <si>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бюджетам муниципальных образований на мероприятия по организации оздоровления и отдыха детей</t>
  </si>
  <si>
    <t>Субвенции бюджетам муниципальных образований 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</si>
  <si>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бюджетам муниципальных образований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</si>
  <si>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бюджетам муниципальных образований на составление протоколов об административных правонарушениях</t>
  </si>
  <si>
    <t>Субвенции бюджетам муниципальных образований на осуществление полномочий по созданию и организации деятельности административных комиссий</t>
  </si>
  <si>
    <t>Субвенции бюджетам муниципальных образований на организацию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</si>
  <si>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</si>
  <si>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Субвенции бюджетам муниципальных образований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 </t>
  </si>
  <si>
    <t>Субвенции бюджетам муниципальных образований на администрирование отдельных государственных полномочий по планированию использования земель сельскохозяйственного назначения</t>
  </si>
  <si>
    <t>2 02 35 118 14 0000 150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</si>
  <si>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</si>
  <si>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 xml:space="preserve">2 02 35 120 14 0000 150 </t>
  </si>
  <si>
    <t>Субвенции бюджетаммуниципальных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</si>
  <si>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2 02 35 930 14 0000 150 </t>
  </si>
  <si>
    <t>Субвенции бюджетам муниципальных округов на государственную регистрацию актов гражданского состояния</t>
  </si>
  <si>
    <t xml:space="preserve">2 02 39 999 14 0000 150 </t>
  </si>
  <si>
    <t>Прочие субвенции бюджетам муниципальных округов</t>
  </si>
  <si>
    <t>Субвенции бюджетам муниципальных образований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</si>
  <si>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 xml:space="preserve">2 02 40 000 00 0000 150 </t>
  </si>
  <si>
    <t>﻿Иные межбюджетные трансферты</t>
  </si>
  <si>
    <t xml:space="preserve">2 02 45 179 14 0000 150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</si>
  <si>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</si>
  <si>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2 02 45 050 14 0000 150 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</si>
  <si>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</si>
  <si>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2 02 45 303 14 0000 150 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</si>
  <si>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</si>
  <si>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2 02 49 999 14 0000 150 </t>
  </si>
  <si>
    <t>Прочие межбюджетные трансферты, передаваемые бюджетам муниципальных округов</t>
  </si>
  <si>
    <t>Иные межбюджетные трансферты на организацию занятий физической культурой в образовательных организациях</t>
  </si>
  <si>
    <t>Иные межбюджетные трансферты на призовые выплаты главам муниципальных образований Пермского края по достижению наиболее результативных значений показателей управленческой деятельности</t>
  </si>
  <si>
    <t>Иные межбюджетные трансферты, передаваемые  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</si>
  <si>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Иные межбюджетные трансферты на обеспечение жильем молодых семей </t>
  </si>
  <si>
    <t>Иные межбюджетные трансферты на оснащение муниципальных образовательных организаций оборудованием, средствами обучения и воспитания</t>
  </si>
  <si>
    <t>Иные МБТ на 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</si>
  <si>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Иные межбюджетные трансферты  на выплату единовременных премий обучающимся, награжденным знаком отличия Пермского края «Гордость Пермского края»</t>
  </si>
  <si>
    <t>2 03 00 000 00 0000 150</t>
  </si>
  <si>
    <t>БЕЗВОЗМЕЗДНЫЕ ПОСТУПЛЕНИЯ ОТ ГОСУДАРСТВЕННЫХ (МУНИЦИПАЛЬНЫХ) ОРГАНИЗАЦИЙ</t>
  </si>
  <si>
    <t>2 03 04 099 14 0000 150</t>
  </si>
  <si>
    <t>Прочие безвозмездные поступления от государственных (муниципальных) организаций в бюджеты муниципальных округов</t>
  </si>
  <si>
    <t>2 07 00000 00 0000 000</t>
  </si>
  <si>
    <t>ПРОЧИЕ БЕЗВОЗМЕЗДНЫЕ ПОСТУПЛЕНИЯ</t>
  </si>
  <si>
    <t>2 07 04 050 14 0000 150</t>
  </si>
  <si>
    <t>Прочие безвозмездные поступления в бюджеты муниципальных округов</t>
  </si>
  <si>
    <t>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</si>
  <si>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</si>
  <si>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2 18 04 010 14 0000 150</t>
  </si>
  <si>
    <t>Доходы бюджетов муниципальных округов от возврата бюджетными учреждениями остатков субсидий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</si>
  <si>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</si>
  <si>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</si>
  <si>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2 19 25 555 14 0000 150</t>
  </si>
  <si>
    <t>Возврат остатков субсидий на реализацию программ формирования современной городской среды из бюджетов муниципальных округов</t>
  </si>
  <si>
    <t>2 19 45 050 14 0000 150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</si>
  <si>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муниципальных округов</t>
  </si>
  <si>
    <t>2 19 45 303 14 0000 150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</si>
  <si>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</si>
  <si>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2 19 60 010 14 0000 151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</si>
  <si>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</si>
  <si>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ИТОГО ДОХОДОВ</t>
  </si>
  <si>
    <t>" Об утверждении отчета об исполнении бюджета Юсьвинского муниципального округа за 2025 год"</t>
  </si>
  <si>
    <t>Источники финансирования дефицита бюджета Юсьвинского муниципального округа Пермского края за 2025 год по кодам классификации источников финансирования дефицитов бюджетов</t>
  </si>
  <si>
    <t>Расходы бюджета  Юсьвинского муниципального округа Пермского края за 2025 год по ведомственной структуре расходов бюджета</t>
  </si>
  <si>
    <t>Приложение  2</t>
  </si>
  <si>
    <t>Расходы бюджета Юсьвинского муниципального округа Пермского края за 2025 год по разделам и подразделам классификации расходов бюджета</t>
  </si>
  <si>
    <t>Номер (код) счета бюджетного учета</t>
  </si>
  <si>
    <t>Сумма задолженности, руб.</t>
  </si>
  <si>
    <t>на начало года</t>
  </si>
  <si>
    <t>на конец отчетного периода</t>
  </si>
  <si>
    <t>всего</t>
  </si>
  <si>
    <t>из них:</t>
  </si>
  <si>
    <t>долгосрочная</t>
  </si>
  <si>
    <t>просроченная</t>
  </si>
  <si>
    <t>4</t>
  </si>
  <si>
    <t>9</t>
  </si>
  <si>
    <t>10</t>
  </si>
  <si>
    <t>11</t>
  </si>
  <si>
    <t>120511000</t>
  </si>
  <si>
    <t>120521000</t>
  </si>
  <si>
    <t>120523000</t>
  </si>
  <si>
    <t>120529000</t>
  </si>
  <si>
    <t>120531000</t>
  </si>
  <si>
    <t>120535000</t>
  </si>
  <si>
    <t>120551000</t>
  </si>
  <si>
    <t>120553000</t>
  </si>
  <si>
    <t>120561000</t>
  </si>
  <si>
    <t>120571000</t>
  </si>
  <si>
    <t>120573000</t>
  </si>
  <si>
    <t>120589000</t>
  </si>
  <si>
    <t>120621000</t>
  </si>
  <si>
    <t>120623000</t>
  </si>
  <si>
    <t>120625000</t>
  </si>
  <si>
    <t>120626000</t>
  </si>
  <si>
    <t>120628000</t>
  </si>
  <si>
    <t>120631000</t>
  </si>
  <si>
    <t>120821000</t>
  </si>
  <si>
    <t>120826000</t>
  </si>
  <si>
    <t>120831000</t>
  </si>
  <si>
    <t>120834000</t>
  </si>
  <si>
    <t>120936000</t>
  </si>
  <si>
    <t>120941000</t>
  </si>
  <si>
    <t>120944000</t>
  </si>
  <si>
    <t>130305000</t>
  </si>
  <si>
    <t>130314000</t>
  </si>
  <si>
    <t>Всего задолженности</t>
  </si>
  <si>
    <t>120581000</t>
  </si>
  <si>
    <t>130263000</t>
  </si>
  <si>
    <t>Доходы</t>
  </si>
  <si>
    <t>Расчеты по налоговым доходам</t>
  </si>
  <si>
    <t>Расчеты по доходам от собственности</t>
  </si>
  <si>
    <t>Расчеты по доходам от платежей при пользовании природными ресурсами</t>
  </si>
  <si>
    <t>Расчеты по иным доходам от собственности</t>
  </si>
  <si>
    <t>Расчеты по доходам от оказания платных услуг (работ)</t>
  </si>
  <si>
    <t>Расчеты по условным арендным платежам</t>
  </si>
  <si>
    <t>Расчеты по поступлениям текущего характера от других бюджетов бюджетной системы Российской Федерации</t>
  </si>
  <si>
    <t>Расчеты по поступлениям текущего характера в бюджеты бюджетной системы Российской Федерации от бюджетных и автономных учреждений</t>
  </si>
  <si>
    <t>Расчеты по поступлениям капитального характера бюджетным и автономным учреждениям от сектора государственного управления</t>
  </si>
  <si>
    <t>Расчеты по доходам от операций с основными средствами</t>
  </si>
  <si>
    <t>Расчеты по доходам от операций с непроизведенными активами</t>
  </si>
  <si>
    <t>Расчеты по иным доходам</t>
  </si>
  <si>
    <t>Расходы</t>
  </si>
  <si>
    <t>Расчеты по авансам по услугам связи</t>
  </si>
  <si>
    <t>Расчеты по авансам по коммунальным услугам</t>
  </si>
  <si>
    <t>Расчеты по авансам по работам, услугам по содержанию имущества</t>
  </si>
  <si>
    <t>Расчеты по авансам по прочим работам, услугам</t>
  </si>
  <si>
    <t>Расчеты по авансам по услугам, работам для целей капитальных вложений</t>
  </si>
  <si>
    <t>Расчеты с подотчетными лицами по приобретению основных средств</t>
  </si>
  <si>
    <t>Расчеты с подотчетными лицами по приобретению материальных запасов</t>
  </si>
  <si>
    <t>Расчеты с подотчетными лицами по оплате услуг связи</t>
  </si>
  <si>
    <t>Расчеты по авансам по приобретению основных средств</t>
  </si>
  <si>
    <t>Расчеты по прочим платежам в бюджеты</t>
  </si>
  <si>
    <t>Расчеты по единому налоговому платежу</t>
  </si>
  <si>
    <t>Расчеты по доходам от штрафных санкций за нарушение условий контрактов (договоров)</t>
  </si>
  <si>
    <t>Расчеты по доходам от возмещения ущерба имуществу (за искл. страховых возмещений)</t>
  </si>
  <si>
    <t>Расчеты по доходам бюджета от возврата дебиторской задолженности прошлых лет</t>
  </si>
  <si>
    <t>Отчет по дебиторской  задолженности за 2025 год</t>
  </si>
  <si>
    <t>Расчеты по невыясненным поступлениям</t>
  </si>
  <si>
    <t>Расчеты по пособиям по социальной помощи населению в натуральной форме</t>
  </si>
  <si>
    <t>Отчет по кредиторской задолженности за 2025 год</t>
  </si>
  <si>
    <t>Задолженность на 01.01.2026</t>
  </si>
  <si>
    <t>Объем выполненных работ на 01.01.2026</t>
  </si>
  <si>
    <t>Сведения</t>
  </si>
  <si>
    <t>о доходах, полученных от использования муниципального имущества в 2025 году</t>
  </si>
  <si>
    <t>Категория имущества муниципальной собственности</t>
  </si>
  <si>
    <t>Арендуемая площадь, кв.м.</t>
  </si>
  <si>
    <t>Арендная плата за период</t>
  </si>
  <si>
    <t>задолженность на начало года</t>
  </si>
  <si>
    <t>начислено за год</t>
  </si>
  <si>
    <t>оплачено за год</t>
  </si>
  <si>
    <t>задолженность на конец года</t>
  </si>
  <si>
    <t>Арендная плата за земельные участки, государственная собственность на которые не разграничена</t>
  </si>
  <si>
    <t>Арендная плата за земельные участки, находящиеся в собственности Юсьвинского муниципального округа Пермского края</t>
  </si>
  <si>
    <t>Прочие поступления от использования имущества, находящегося в собственности муниципальных округов</t>
  </si>
  <si>
    <t>Прочие поступления от использования имущества, находящегося в собственности Юсьвинского муниципального округа Пермского края</t>
  </si>
  <si>
    <t>Имущество, закрепленное за учреждениями на праве оперативного управления</t>
  </si>
  <si>
    <t>Имущество, находящееся в казне Юсьвинского муниципального округа</t>
  </si>
  <si>
    <t xml:space="preserve">Постановлением администрации Юсьвинского муниципального округа Пермского края от 28.12.2024 № 815 «Об утверждении перечня движимого имущества муниципального образования Юсьвинский муниципальный округ Пермского края, планируемого к приватизации в 2025 году», Договор купли-продажи муниципального имущества от 27.05.2025 № 3  </t>
  </si>
  <si>
    <t>Транспортное средство для перевозки детей, марка, модель 222335</t>
  </si>
  <si>
    <t>Постановлением администрации Юсьвинского муниципального округа Пермского края от 28.12.2024 № 815 «Об утверждении перечня движимого имущества муниципального образования Юсьвинский муниципальный округ Пермского края, планируемого к приватизации в 2025 году» , Договор купли -продажи муниципального имущества посредством публичного предложения от 22.05.2025 № 2</t>
  </si>
  <si>
    <t>Автобус специальный для перевозки детей ГАЗ-322121</t>
  </si>
  <si>
    <t>Решением Думы Юсьвинского муниципального округа Пермского края от 21.12.2023 №572 "Об утверждении  Пргнозного плана приватизации муниципального имущества" , Договор купли -продажи муниципального имущества посредством публичного предложения от 07.04.2025 № 1</t>
  </si>
  <si>
    <t xml:space="preserve">здание,  наименование: гараж,  назначение: нежилое, площадью 70,1 кв.м. , по адресу: Российская Федерация, край Пермский, муниципальный округ Юсьвинский, село Юсьва, улица Чечулина, здание 18а, кадастровый номер 81:05:0000000:400;
-земельный участок, категория земель: земли населенных пунктов, вид разрешенного использования: хранение автотранспорта,  площадью 94 кв.м., кадастровый номер 81:05:0011009:166, по адресу: Российская Федерация, Пермский край, муниципальный округ Юсьвинский, село Юсьва, улица Чечулина, з/у 18а 
</t>
  </si>
  <si>
    <t>Распоряжение администрации Юсьвинского муниципального округа Пермского края от 25.12.2024 № 711-р "Об условиях приватизации муниципального имущества"</t>
  </si>
  <si>
    <t>помещение, назначение: нежилое, площадью 93,1 кв.м., по адресу: Пермский край, Юсьвинский район, с.Купрос, ул. Советская, д. 5а-2</t>
  </si>
  <si>
    <t>Постановление администрации Юсьвинского муниципального округа Пермского края от 29.12.2023 №888, Договор купли-продажи муниципального имущества от 13.01.2025 №4</t>
  </si>
  <si>
    <t>Легковой автомобиль:CHEVROLET NIVA, 212300-55</t>
  </si>
  <si>
    <t>Постановление администрации Юсьвинского муниципального округа Пермского края от 29.12.2023 № 888. Договор купли-продажи муниципального имущества от 27.12.2024 № 3</t>
  </si>
  <si>
    <t>Автомобиль легковой, марки FORD ФОРД "МОНДЕО"</t>
  </si>
  <si>
    <t>Сумма задолженности на конец года</t>
  </si>
  <si>
    <t>Перечислено в бюджет за год</t>
  </si>
  <si>
    <t>Сумма задолженности на начало года</t>
  </si>
  <si>
    <t>Цена продажи объекта</t>
  </si>
  <si>
    <t>Основание продажи</t>
  </si>
  <si>
    <t>Объект продажи</t>
  </si>
  <si>
    <t xml:space="preserve">о доходах от продажи имущества, находящегося в собственности
Юсьвинского муниципального округа Пермского края, за 2025  год                                                           </t>
  </si>
  <si>
    <t>Муниципальная программа " Распоряжение земельными ресурсами в Юсьвинском муниципальном округе Пермского края"</t>
  </si>
  <si>
    <t>от 26.06.2026 № 189</t>
  </si>
  <si>
    <t>от 26.06.2026  № 189</t>
  </si>
  <si>
    <t>от 26.06.2026 г. № 189</t>
  </si>
  <si>
    <t>от  26.06.2026 № 189</t>
  </si>
  <si>
    <t xml:space="preserve">  к решению Думы Юсьвинского муниципального округа Пермского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</si>
</sst>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000"/>
    <numFmt numFmtId="165" formatCode="_(* #,##0.00_);_(* \(#,##0.00\);_(* &quot;-&quot;??_);_(@_)"/>
    <numFmt numFmtId="166" formatCode="_-* #,##0.00\ _D_M_-;\-* #,##0.00\ _D_M_-;_-* &quot;-&quot;??\ _D_M_-;_-@_-"/>
    <numFmt numFmtId="167" formatCode="_-* #,##0.00_р_._-;\-* #,##0.00_р_._-;_-* &quot;-&quot;??_р_._-;_-@_-"/>
    <numFmt numFmtId="168" formatCode="0.0"/>
    <numFmt numFmtId="169" formatCode="0.00000"/>
    <numFmt numFmtId="170" formatCode="#,##0.000"/>
    <numFmt numFmtId="171" formatCode="#,##0.0"/>
    <numFmt numFmtId="172" formatCode="?"/>
    <numFmt numFmtId="173" formatCode="#,##0.000000"/>
    <numFmt numFmtId="174" formatCode="#,##0.0\ _₽"/>
  </numFmts>
  <fonts count="1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Arial Cyr"/>
      <charset val="204"/>
    </font>
    <font>
      <b/>
      <sz val="11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 CYR"/>
    </font>
    <font>
      <b/>
      <sz val="11"/>
      <color indexed="8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name val="Times New Roman"/>
      <family val="1"/>
      <charset val="204"/>
    </font>
    <font>
      <b/>
      <sz val="9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C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auto="1"/>
        <bgColor auto="1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79">
    <xf numFmtId="0" fontId="0" fillId="0" borderId="0"/>
    <xf numFmtId="0" fontId="4" fillId="0" borderId="0"/>
    <xf numFmtId="0" fontId="12" fillId="0" borderId="0"/>
    <xf numFmtId="0" fontId="1" fillId="0" borderId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4" borderId="0" applyNumberFormat="0" applyBorder="0" applyAlignment="0" applyProtection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20" fillId="29" borderId="0" applyNumberFormat="0" applyBorder="0" applyAlignment="0" applyProtection="0"/>
    <xf numFmtId="0" fontId="20" fillId="14" borderId="0" applyNumberFormat="0" applyBorder="0" applyAlignment="0" applyProtection="0"/>
    <xf numFmtId="0" fontId="20" fillId="27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39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3" fillId="39" borderId="0" applyNumberFormat="0" applyBorder="0" applyAlignment="0" applyProtection="0"/>
    <xf numFmtId="0" fontId="24" fillId="53" borderId="4" applyNumberFormat="0" applyAlignment="0" applyProtection="0"/>
    <xf numFmtId="0" fontId="25" fillId="40" borderId="5" applyNumberFormat="0" applyAlignment="0" applyProtection="0"/>
    <xf numFmtId="0" fontId="26" fillId="54" borderId="0" applyNumberFormat="0" applyBorder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57" borderId="0" applyNumberFormat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51" borderId="4" applyNumberFormat="0" applyAlignment="0" applyProtection="0"/>
    <xf numFmtId="0" fontId="33" fillId="0" borderId="9" applyNumberFormat="0" applyFill="0" applyAlignment="0" applyProtection="0"/>
    <xf numFmtId="0" fontId="34" fillId="51" borderId="0" applyNumberFormat="0" applyBorder="0" applyAlignment="0" applyProtection="0"/>
    <xf numFmtId="0" fontId="35" fillId="0" borderId="0"/>
    <xf numFmtId="0" fontId="12" fillId="50" borderId="10" applyNumberFormat="0" applyFont="0" applyAlignment="0" applyProtection="0"/>
    <xf numFmtId="0" fontId="36" fillId="53" borderId="11" applyNumberFormat="0" applyAlignment="0" applyProtection="0"/>
    <xf numFmtId="0" fontId="12" fillId="0" borderId="0"/>
    <xf numFmtId="4" fontId="37" fillId="58" borderId="12" applyNumberFormat="0" applyProtection="0">
      <alignment vertical="center"/>
    </xf>
    <xf numFmtId="0" fontId="12" fillId="0" borderId="0"/>
    <xf numFmtId="0" fontId="12" fillId="0" borderId="0"/>
    <xf numFmtId="0" fontId="12" fillId="0" borderId="0"/>
    <xf numFmtId="4" fontId="38" fillId="58" borderId="12" applyNumberFormat="0" applyProtection="0">
      <alignment vertical="center"/>
    </xf>
    <xf numFmtId="0" fontId="12" fillId="0" borderId="0"/>
    <xf numFmtId="0" fontId="12" fillId="0" borderId="0"/>
    <xf numFmtId="4" fontId="37" fillId="58" borderId="12" applyNumberFormat="0" applyProtection="0">
      <alignment horizontal="left" vertical="center" indent="1"/>
    </xf>
    <xf numFmtId="0" fontId="12" fillId="0" borderId="0"/>
    <xf numFmtId="4" fontId="39" fillId="59" borderId="13" applyNumberFormat="0" applyProtection="0">
      <alignment horizontal="left" vertical="center" indent="1"/>
    </xf>
    <xf numFmtId="0" fontId="12" fillId="0" borderId="0"/>
    <xf numFmtId="0" fontId="37" fillId="58" borderId="12" applyNumberFormat="0" applyProtection="0">
      <alignment horizontal="left" vertical="top" indent="1"/>
    </xf>
    <xf numFmtId="0" fontId="12" fillId="0" borderId="0"/>
    <xf numFmtId="0" fontId="12" fillId="0" borderId="0"/>
    <xf numFmtId="4" fontId="37" fillId="13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18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14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0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8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32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1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5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2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7" borderId="12" applyNumberFormat="0" applyProtection="0">
      <alignment horizontal="right" vertical="center"/>
    </xf>
    <xf numFmtId="0" fontId="12" fillId="0" borderId="0"/>
    <xf numFmtId="0" fontId="12" fillId="0" borderId="0"/>
    <xf numFmtId="4" fontId="37" fillId="63" borderId="14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6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40" fillId="2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13" borderId="12" applyNumberFormat="0" applyProtection="0">
      <alignment horizontal="right" vertical="center"/>
    </xf>
    <xf numFmtId="0" fontId="12" fillId="0" borderId="0"/>
    <xf numFmtId="0" fontId="12" fillId="0" borderId="0"/>
    <xf numFmtId="4" fontId="41" fillId="6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41" fillId="13" borderId="0" applyNumberFormat="0" applyProtection="0">
      <alignment horizontal="left" vertical="center" indent="1"/>
    </xf>
    <xf numFmtId="0" fontId="12" fillId="0" borderId="0"/>
    <xf numFmtId="0" fontId="39" fillId="26" borderId="13" applyNumberFormat="0" applyProtection="0">
      <alignment horizontal="left" vertical="center" indent="1"/>
    </xf>
    <xf numFmtId="0" fontId="12" fillId="24" borderId="12" applyNumberFormat="0" applyProtection="0">
      <alignment horizontal="left" vertical="center" indent="1"/>
    </xf>
    <xf numFmtId="0" fontId="12" fillId="24" borderId="12" applyNumberFormat="0" applyProtection="0">
      <alignment horizontal="left" vertical="center" indent="1"/>
    </xf>
    <xf numFmtId="0" fontId="12" fillId="0" borderId="0"/>
    <xf numFmtId="0" fontId="12" fillId="24" borderId="12" applyNumberFormat="0" applyProtection="0">
      <alignment horizontal="left" vertical="top" indent="1"/>
    </xf>
    <xf numFmtId="0" fontId="12" fillId="0" borderId="0"/>
    <xf numFmtId="0" fontId="39" fillId="65" borderId="13" applyNumberFormat="0" applyProtection="0">
      <alignment horizontal="left" vertical="center" indent="1"/>
    </xf>
    <xf numFmtId="0" fontId="12" fillId="13" borderId="12" applyNumberFormat="0" applyProtection="0">
      <alignment horizontal="left" vertical="center" indent="1"/>
    </xf>
    <xf numFmtId="0" fontId="12" fillId="0" borderId="0"/>
    <xf numFmtId="0" fontId="12" fillId="13" borderId="12" applyNumberFormat="0" applyProtection="0">
      <alignment horizontal="left" vertical="top" indent="1"/>
    </xf>
    <xf numFmtId="0" fontId="12" fillId="0" borderId="0"/>
    <xf numFmtId="0" fontId="39" fillId="17" borderId="13" applyNumberFormat="0" applyProtection="0">
      <alignment horizontal="left" vertical="center" indent="1"/>
    </xf>
    <xf numFmtId="0" fontId="39" fillId="17" borderId="13" applyNumberFormat="0" applyProtection="0">
      <alignment horizontal="left" vertical="center" indent="1"/>
    </xf>
    <xf numFmtId="0" fontId="12" fillId="0" borderId="0"/>
    <xf numFmtId="0" fontId="12" fillId="17" borderId="12" applyNumberFormat="0" applyProtection="0">
      <alignment horizontal="left" vertical="top" indent="1"/>
    </xf>
    <xf numFmtId="0" fontId="12" fillId="0" borderId="0"/>
    <xf numFmtId="0" fontId="12" fillId="0" borderId="0"/>
    <xf numFmtId="0" fontId="12" fillId="64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64" borderId="12" applyNumberFormat="0" applyProtection="0">
      <alignment horizontal="left" vertical="top" indent="1"/>
    </xf>
    <xf numFmtId="0" fontId="12" fillId="0" borderId="0"/>
    <xf numFmtId="0" fontId="12" fillId="0" borderId="0"/>
    <xf numFmtId="0" fontId="12" fillId="16" borderId="1" applyNumberFormat="0">
      <protection locked="0"/>
    </xf>
    <xf numFmtId="0" fontId="12" fillId="0" borderId="0"/>
    <xf numFmtId="0" fontId="42" fillId="24" borderId="15" applyBorder="0"/>
    <xf numFmtId="0" fontId="12" fillId="0" borderId="0"/>
    <xf numFmtId="4" fontId="17" fillId="15" borderId="12" applyNumberFormat="0" applyProtection="0">
      <alignment vertical="center"/>
    </xf>
    <xf numFmtId="0" fontId="12" fillId="0" borderId="0"/>
    <xf numFmtId="0" fontId="12" fillId="0" borderId="0"/>
    <xf numFmtId="4" fontId="43" fillId="15" borderId="12" applyNumberFormat="0" applyProtection="0">
      <alignment vertical="center"/>
    </xf>
    <xf numFmtId="0" fontId="12" fillId="0" borderId="0"/>
    <xf numFmtId="0" fontId="12" fillId="0" borderId="0"/>
    <xf numFmtId="4" fontId="17" fillId="15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7" fillId="15" borderId="12" applyNumberFormat="0" applyProtection="0">
      <alignment horizontal="left" vertical="top" indent="1"/>
    </xf>
    <xf numFmtId="0" fontId="12" fillId="0" borderId="0"/>
    <xf numFmtId="4" fontId="39" fillId="0" borderId="13" applyNumberFormat="0" applyProtection="0">
      <alignment horizontal="right" vertical="center"/>
    </xf>
    <xf numFmtId="4" fontId="39" fillId="0" borderId="13" applyNumberFormat="0" applyProtection="0">
      <alignment horizontal="right" vertical="center"/>
    </xf>
    <xf numFmtId="4" fontId="39" fillId="0" borderId="13" applyNumberFormat="0" applyProtection="0">
      <alignment horizontal="right" vertical="center"/>
    </xf>
    <xf numFmtId="0" fontId="12" fillId="0" borderId="0"/>
    <xf numFmtId="4" fontId="43" fillId="64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13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0" borderId="0"/>
    <xf numFmtId="0" fontId="17" fillId="13" borderId="12" applyNumberFormat="0" applyProtection="0">
      <alignment horizontal="left" vertical="top" indent="1"/>
    </xf>
    <xf numFmtId="0" fontId="12" fillId="0" borderId="0"/>
    <xf numFmtId="0" fontId="12" fillId="0" borderId="0"/>
    <xf numFmtId="4" fontId="44" fillId="66" borderId="0" applyNumberFormat="0" applyProtection="0">
      <alignment horizontal="left" vertical="center" indent="1"/>
    </xf>
    <xf numFmtId="0" fontId="12" fillId="0" borderId="0"/>
    <xf numFmtId="0" fontId="39" fillId="67" borderId="1"/>
    <xf numFmtId="0" fontId="12" fillId="0" borderId="0"/>
    <xf numFmtId="4" fontId="45" fillId="64" borderId="12" applyNumberFormat="0" applyProtection="0">
      <alignment horizontal="right" vertical="center"/>
    </xf>
    <xf numFmtId="0" fontId="1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20" fillId="68" borderId="0" applyNumberFormat="0" applyBorder="0" applyAlignment="0" applyProtection="0"/>
    <xf numFmtId="0" fontId="20" fillId="60" borderId="0" applyNumberFormat="0" applyBorder="0" applyAlignment="0" applyProtection="0"/>
    <xf numFmtId="0" fontId="20" fillId="25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61" borderId="0" applyNumberFormat="0" applyBorder="0" applyAlignment="0" applyProtection="0"/>
    <xf numFmtId="0" fontId="48" fillId="23" borderId="4" applyNumberFormat="0" applyAlignment="0" applyProtection="0"/>
    <xf numFmtId="0" fontId="49" fillId="26" borderId="11" applyNumberFormat="0" applyAlignment="0" applyProtection="0"/>
    <xf numFmtId="0" fontId="50" fillId="26" borderId="4" applyNumberFormat="0" applyAlignment="0" applyProtection="0"/>
    <xf numFmtId="0" fontId="51" fillId="0" borderId="17" applyNumberFormat="0" applyFill="0" applyAlignment="0" applyProtection="0"/>
    <xf numFmtId="0" fontId="52" fillId="0" borderId="7" applyNumberFormat="0" applyFill="0" applyAlignment="0" applyProtection="0"/>
    <xf numFmtId="0" fontId="53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19" applyNumberFormat="0" applyFill="0" applyAlignment="0" applyProtection="0"/>
    <xf numFmtId="0" fontId="55" fillId="69" borderId="5" applyNumberFormat="0" applyAlignment="0" applyProtection="0"/>
    <xf numFmtId="0" fontId="56" fillId="0" borderId="0" applyNumberFormat="0" applyFill="0" applyBorder="0" applyAlignment="0" applyProtection="0"/>
    <xf numFmtId="0" fontId="57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61" fillId="70" borderId="0"/>
    <xf numFmtId="0" fontId="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2" fillId="0" borderId="0"/>
    <xf numFmtId="0" fontId="6" fillId="0" borderId="0"/>
    <xf numFmtId="0" fontId="61" fillId="70" borderId="0"/>
    <xf numFmtId="0" fontId="58" fillId="0" borderId="0"/>
    <xf numFmtId="0" fontId="62" fillId="18" borderId="0" applyNumberFormat="0" applyBorder="0" applyAlignment="0" applyProtection="0"/>
    <xf numFmtId="0" fontId="63" fillId="0" borderId="0" applyNumberFormat="0" applyFill="0" applyBorder="0" applyAlignment="0" applyProtection="0"/>
    <xf numFmtId="0" fontId="12" fillId="15" borderId="10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4" fillId="0" borderId="20" applyNumberFormat="0" applyFill="0" applyAlignment="0" applyProtection="0"/>
    <xf numFmtId="0" fontId="65" fillId="0" borderId="0"/>
    <xf numFmtId="0" fontId="66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7" fillId="20" borderId="0" applyNumberFormat="0" applyBorder="0" applyAlignment="0" applyProtection="0"/>
    <xf numFmtId="0" fontId="12" fillId="0" borderId="0"/>
    <xf numFmtId="4" fontId="39" fillId="0" borderId="13" applyNumberFormat="0" applyProtection="0">
      <alignment horizontal="right" vertical="center"/>
    </xf>
    <xf numFmtId="0" fontId="1" fillId="0" borderId="0"/>
    <xf numFmtId="0" fontId="35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61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</cellStyleXfs>
  <cellXfs count="1158">
    <xf numFmtId="0" fontId="0" fillId="0" borderId="0" xfId="0"/>
    <xf numFmtId="0" fontId="3" fillId="0" borderId="0" xfId="0" applyFont="1"/>
    <xf numFmtId="164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wrapText="1"/>
    </xf>
    <xf numFmtId="0" fontId="6" fillId="2" borderId="1" xfId="1" applyFont="1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0" fontId="3" fillId="0" borderId="1" xfId="0" applyFont="1" applyBorder="1"/>
    <xf numFmtId="164" fontId="6" fillId="3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vertical="top" wrapText="1"/>
    </xf>
    <xf numFmtId="164" fontId="6" fillId="3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wrapText="1"/>
    </xf>
    <xf numFmtId="164" fontId="5" fillId="4" borderId="1" xfId="1" applyNumberFormat="1" applyFont="1" applyFill="1" applyBorder="1" applyAlignment="1">
      <alignment horizontal="center" wrapText="1"/>
    </xf>
    <xf numFmtId="0" fontId="5" fillId="4" borderId="1" xfId="1" applyFont="1" applyFill="1" applyBorder="1" applyAlignment="1">
      <alignment wrapText="1"/>
    </xf>
    <xf numFmtId="49" fontId="5" fillId="4" borderId="1" xfId="1" applyNumberFormat="1" applyFont="1" applyFill="1" applyBorder="1" applyAlignment="1">
      <alignment horizontal="center" wrapText="1"/>
    </xf>
    <xf numFmtId="164" fontId="5" fillId="5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wrapText="1"/>
    </xf>
    <xf numFmtId="49" fontId="5" fillId="5" borderId="1" xfId="1" applyNumberFormat="1" applyFont="1" applyFill="1" applyBorder="1" applyAlignment="1">
      <alignment horizontal="center" wrapText="1"/>
    </xf>
    <xf numFmtId="164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3" fillId="3" borderId="0" xfId="0" applyFont="1" applyFill="1"/>
    <xf numFmtId="0" fontId="3" fillId="4" borderId="1" xfId="0" applyFont="1" applyFill="1" applyBorder="1"/>
    <xf numFmtId="0" fontId="3" fillId="5" borderId="1" xfId="0" applyFont="1" applyFill="1" applyBorder="1"/>
    <xf numFmtId="164" fontId="5" fillId="3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left" vertical="top" wrapText="1"/>
    </xf>
    <xf numFmtId="164" fontId="5" fillId="7" borderId="1" xfId="1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49" fontId="5" fillId="7" borderId="1" xfId="1" applyNumberFormat="1" applyFont="1" applyFill="1" applyBorder="1" applyAlignment="1">
      <alignment horizontal="center" wrapText="1"/>
    </xf>
    <xf numFmtId="164" fontId="5" fillId="8" borderId="1" xfId="1" applyNumberFormat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vertical="top" wrapText="1"/>
    </xf>
    <xf numFmtId="49" fontId="5" fillId="8" borderId="1" xfId="1" applyNumberFormat="1" applyFont="1" applyFill="1" applyBorder="1" applyAlignment="1">
      <alignment horizontal="center" vertical="top" wrapText="1"/>
    </xf>
    <xf numFmtId="0" fontId="5" fillId="8" borderId="1" xfId="1" applyNumberFormat="1" applyFont="1" applyFill="1" applyBorder="1" applyAlignment="1">
      <alignment horizontal="center" vertical="top" wrapText="1"/>
    </xf>
    <xf numFmtId="0" fontId="6" fillId="8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wrapText="1"/>
    </xf>
    <xf numFmtId="0" fontId="5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left" vertical="top" wrapText="1"/>
    </xf>
    <xf numFmtId="49" fontId="5" fillId="4" borderId="1" xfId="1" applyNumberFormat="1" applyFont="1" applyFill="1" applyBorder="1" applyAlignment="1">
      <alignment horizontal="center" vertical="top" wrapText="1"/>
    </xf>
    <xf numFmtId="0" fontId="5" fillId="4" borderId="1" xfId="1" applyNumberFormat="1" applyFont="1" applyFill="1" applyBorder="1" applyAlignment="1">
      <alignment horizontal="center" vertical="top" wrapText="1"/>
    </xf>
    <xf numFmtId="49" fontId="6" fillId="4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left" vertical="top" wrapText="1"/>
    </xf>
    <xf numFmtId="49" fontId="5" fillId="5" borderId="1" xfId="1" applyNumberFormat="1" applyFont="1" applyFill="1" applyBorder="1" applyAlignment="1">
      <alignment horizontal="center" vertical="top" wrapText="1"/>
    </xf>
    <xf numFmtId="0" fontId="5" fillId="5" borderId="1" xfId="1" applyNumberFormat="1" applyFont="1" applyFill="1" applyBorder="1" applyAlignment="1">
      <alignment horizontal="center" vertical="top" wrapText="1"/>
    </xf>
    <xf numFmtId="49" fontId="6" fillId="5" borderId="1" xfId="1" applyNumberFormat="1" applyFont="1" applyFill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NumberFormat="1" applyFont="1" applyFill="1" applyBorder="1" applyAlignment="1">
      <alignment horizontal="center" vertical="top" wrapText="1"/>
    </xf>
    <xf numFmtId="0" fontId="7" fillId="0" borderId="0" xfId="0" applyFont="1"/>
    <xf numFmtId="164" fontId="6" fillId="0" borderId="1" xfId="1" applyNumberFormat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wrapText="1"/>
    </xf>
    <xf numFmtId="49" fontId="8" fillId="3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wrapText="1"/>
    </xf>
    <xf numFmtId="0" fontId="6" fillId="0" borderId="1" xfId="1" applyFont="1" applyFill="1" applyBorder="1" applyAlignment="1">
      <alignment horizontal="center" vertical="top" wrapText="1"/>
    </xf>
    <xf numFmtId="164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vertical="top" wrapText="1"/>
    </xf>
    <xf numFmtId="49" fontId="5" fillId="9" borderId="1" xfId="1" applyNumberFormat="1" applyFont="1" applyFill="1" applyBorder="1" applyAlignment="1">
      <alignment horizontal="center" vertical="top" wrapText="1"/>
    </xf>
    <xf numFmtId="0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/>
    </xf>
    <xf numFmtId="0" fontId="6" fillId="3" borderId="2" xfId="0" applyFont="1" applyFill="1" applyBorder="1" applyAlignment="1">
      <alignment wrapText="1"/>
    </xf>
    <xf numFmtId="49" fontId="6" fillId="3" borderId="2" xfId="0" applyNumberFormat="1" applyFont="1" applyFill="1" applyBorder="1" applyAlignment="1">
      <alignment horizontal="center" wrapText="1"/>
    </xf>
    <xf numFmtId="49" fontId="9" fillId="3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 wrapText="1"/>
    </xf>
    <xf numFmtId="0" fontId="10" fillId="3" borderId="1" xfId="1" applyFont="1" applyFill="1" applyBorder="1" applyAlignment="1">
      <alignment wrapText="1"/>
    </xf>
    <xf numFmtId="49" fontId="10" fillId="3" borderId="1" xfId="1" applyNumberFormat="1" applyFont="1" applyFill="1" applyBorder="1" applyAlignment="1">
      <alignment horizontal="center" wrapText="1"/>
    </xf>
    <xf numFmtId="0" fontId="11" fillId="0" borderId="0" xfId="0" applyFont="1"/>
    <xf numFmtId="164" fontId="6" fillId="3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justify"/>
    </xf>
    <xf numFmtId="0" fontId="5" fillId="7" borderId="1" xfId="1" applyFont="1" applyFill="1" applyBorder="1" applyAlignment="1">
      <alignment horizontal="left" wrapText="1"/>
    </xf>
    <xf numFmtId="49" fontId="5" fillId="0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5" fillId="4" borderId="1" xfId="1" applyFont="1" applyFill="1" applyBorder="1" applyAlignment="1">
      <alignment vertical="top" wrapText="1"/>
    </xf>
    <xf numFmtId="0" fontId="3" fillId="3" borderId="1" xfId="0" applyFont="1" applyFill="1" applyBorder="1"/>
    <xf numFmtId="0" fontId="6" fillId="3" borderId="1" xfId="3" applyNumberFormat="1" applyFont="1" applyFill="1" applyBorder="1" applyAlignment="1">
      <alignment horizontal="left" vertical="top" wrapText="1"/>
    </xf>
    <xf numFmtId="0" fontId="6" fillId="0" borderId="1" xfId="1" applyNumberFormat="1" applyFont="1" applyFill="1" applyBorder="1" applyAlignment="1">
      <alignment horizontal="center" vertical="top" wrapText="1"/>
    </xf>
    <xf numFmtId="0" fontId="5" fillId="10" borderId="1" xfId="1" applyFont="1" applyFill="1" applyBorder="1" applyAlignment="1">
      <alignment horizontal="left" vertical="top" wrapText="1"/>
    </xf>
    <xf numFmtId="164" fontId="5" fillId="9" borderId="1" xfId="1" applyNumberFormat="1" applyFont="1" applyFill="1" applyBorder="1" applyAlignment="1">
      <alignment horizontal="center" wrapText="1"/>
    </xf>
    <xf numFmtId="0" fontId="5" fillId="9" borderId="1" xfId="1" applyFont="1" applyFill="1" applyBorder="1" applyAlignment="1">
      <alignment horizontal="left" vertical="top" wrapText="1"/>
    </xf>
    <xf numFmtId="0" fontId="3" fillId="9" borderId="1" xfId="0" applyFont="1" applyFill="1" applyBorder="1"/>
    <xf numFmtId="164" fontId="5" fillId="8" borderId="1" xfId="1" applyNumberFormat="1" applyFont="1" applyFill="1" applyBorder="1" applyAlignment="1">
      <alignment horizontal="center" wrapText="1"/>
    </xf>
    <xf numFmtId="0" fontId="3" fillId="8" borderId="1" xfId="0" applyFont="1" applyFill="1" applyBorder="1"/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top" wrapText="1"/>
    </xf>
    <xf numFmtId="49" fontId="9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left" wrapText="1"/>
    </xf>
    <xf numFmtId="0" fontId="6" fillId="3" borderId="1" xfId="1" applyFont="1" applyFill="1" applyBorder="1" applyAlignment="1">
      <alignment horizontal="left" wrapText="1"/>
    </xf>
    <xf numFmtId="49" fontId="5" fillId="2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11" fillId="4" borderId="1" xfId="0" applyFont="1" applyFill="1" applyBorder="1"/>
    <xf numFmtId="49" fontId="6" fillId="5" borderId="1" xfId="1" applyNumberFormat="1" applyFont="1" applyFill="1" applyBorder="1" applyAlignment="1">
      <alignment horizontal="center" wrapText="1"/>
    </xf>
    <xf numFmtId="0" fontId="6" fillId="0" borderId="1" xfId="1" applyFont="1" applyBorder="1" applyAlignment="1">
      <alignment vertical="center" wrapText="1"/>
    </xf>
    <xf numFmtId="0" fontId="3" fillId="11" borderId="0" xfId="0" applyFont="1" applyFill="1"/>
    <xf numFmtId="164" fontId="5" fillId="4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vertical="top" wrapText="1"/>
    </xf>
    <xf numFmtId="0" fontId="11" fillId="5" borderId="1" xfId="0" applyFont="1" applyFill="1" applyBorder="1"/>
    <xf numFmtId="0" fontId="6" fillId="0" borderId="1" xfId="1" applyFont="1" applyBorder="1" applyAlignment="1">
      <alignment horizontal="justify" wrapText="1"/>
    </xf>
    <xf numFmtId="0" fontId="6" fillId="0" borderId="1" xfId="1" applyFont="1" applyBorder="1" applyAlignment="1">
      <alignment horizontal="justify"/>
    </xf>
    <xf numFmtId="0" fontId="6" fillId="3" borderId="1" xfId="1" applyFont="1" applyFill="1" applyBorder="1" applyAlignment="1">
      <alignment horizontal="justify" wrapText="1"/>
    </xf>
    <xf numFmtId="0" fontId="5" fillId="3" borderId="1" xfId="1" applyFont="1" applyFill="1" applyBorder="1" applyAlignment="1">
      <alignment wrapText="1"/>
    </xf>
    <xf numFmtId="0" fontId="5" fillId="3" borderId="1" xfId="1" applyFont="1" applyFill="1" applyBorder="1" applyAlignment="1">
      <alignment horizontal="center" wrapText="1"/>
    </xf>
    <xf numFmtId="0" fontId="11" fillId="0" borderId="1" xfId="0" applyFont="1" applyBorder="1"/>
    <xf numFmtId="0" fontId="13" fillId="0" borderId="0" xfId="0" applyFont="1"/>
    <xf numFmtId="164" fontId="5" fillId="12" borderId="1" xfId="1" applyNumberFormat="1" applyFont="1" applyFill="1" applyBorder="1" applyAlignment="1">
      <alignment horizontal="center"/>
    </xf>
    <xf numFmtId="0" fontId="5" fillId="12" borderId="1" xfId="1" applyFont="1" applyFill="1" applyBorder="1" applyAlignment="1">
      <alignment horizontal="left" vertical="top" wrapText="1"/>
    </xf>
    <xf numFmtId="49" fontId="5" fillId="12" borderId="1" xfId="1" applyNumberFormat="1" applyFont="1" applyFill="1" applyBorder="1" applyAlignment="1">
      <alignment horizontal="center" vertical="top" wrapText="1"/>
    </xf>
    <xf numFmtId="0" fontId="5" fillId="12" borderId="1" xfId="1" applyNumberFormat="1" applyFont="1" applyFill="1" applyBorder="1" applyAlignment="1">
      <alignment horizontal="center" vertical="top" wrapText="1"/>
    </xf>
    <xf numFmtId="0" fontId="11" fillId="12" borderId="1" xfId="0" applyFont="1" applyFill="1" applyBorder="1"/>
    <xf numFmtId="0" fontId="14" fillId="3" borderId="1" xfId="1" applyFont="1" applyFill="1" applyBorder="1" applyAlignment="1">
      <alignment wrapText="1"/>
    </xf>
    <xf numFmtId="0" fontId="14" fillId="3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right" vertical="center" wrapText="1"/>
    </xf>
    <xf numFmtId="0" fontId="6" fillId="0" borderId="0" xfId="1" applyFont="1" applyFill="1" applyBorder="1" applyAlignment="1">
      <alignment vertical="center" wrapText="1"/>
    </xf>
    <xf numFmtId="0" fontId="15" fillId="0" borderId="0" xfId="0" applyFont="1" applyAlignment="1"/>
    <xf numFmtId="0" fontId="6" fillId="0" borderId="1" xfId="0" applyFont="1" applyBorder="1" applyAlignment="1">
      <alignment horizontal="center"/>
    </xf>
    <xf numFmtId="49" fontId="9" fillId="3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/>
    <xf numFmtId="0" fontId="6" fillId="0" borderId="0" xfId="0" applyFont="1"/>
    <xf numFmtId="0" fontId="5" fillId="7" borderId="2" xfId="1" applyFont="1" applyFill="1" applyBorder="1" applyAlignment="1">
      <alignment wrapText="1"/>
    </xf>
    <xf numFmtId="0" fontId="6" fillId="3" borderId="2" xfId="1" applyFont="1" applyFill="1" applyBorder="1" applyAlignment="1">
      <alignment wrapText="1"/>
    </xf>
    <xf numFmtId="0" fontId="6" fillId="3" borderId="0" xfId="0" applyFont="1" applyFill="1"/>
    <xf numFmtId="49" fontId="69" fillId="3" borderId="1" xfId="1" applyNumberFormat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justify"/>
    </xf>
    <xf numFmtId="0" fontId="70" fillId="0" borderId="1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0" fontId="16" fillId="0" borderId="1" xfId="561" applyFont="1" applyBorder="1" applyAlignment="1">
      <alignment horizontal="center" vertical="center"/>
    </xf>
    <xf numFmtId="0" fontId="70" fillId="71" borderId="1" xfId="561" applyFont="1" applyFill="1" applyBorder="1" applyAlignment="1">
      <alignment vertical="center" wrapText="1"/>
    </xf>
    <xf numFmtId="164" fontId="70" fillId="0" borderId="1" xfId="0" applyNumberFormat="1" applyFont="1" applyBorder="1" applyAlignment="1">
      <alignment horizontal="right" vertical="center" wrapText="1"/>
    </xf>
    <xf numFmtId="164" fontId="73" fillId="0" borderId="1" xfId="0" applyNumberFormat="1" applyFont="1" applyBorder="1" applyAlignment="1">
      <alignment horizontal="right" vertical="center" wrapText="1"/>
    </xf>
    <xf numFmtId="164" fontId="74" fillId="0" borderId="1" xfId="0" applyNumberFormat="1" applyFont="1" applyBorder="1" applyAlignment="1">
      <alignment horizontal="right" vertical="center" wrapText="1"/>
    </xf>
    <xf numFmtId="0" fontId="16" fillId="71" borderId="1" xfId="561" applyFont="1" applyFill="1" applyBorder="1" applyAlignment="1">
      <alignment horizontal="left" vertical="center" wrapText="1" indent="1"/>
    </xf>
    <xf numFmtId="164" fontId="70" fillId="71" borderId="1" xfId="561" applyNumberFormat="1" applyFont="1" applyFill="1" applyBorder="1" applyAlignment="1">
      <alignment horizontal="right" vertical="center" wrapText="1"/>
    </xf>
    <xf numFmtId="164" fontId="16" fillId="71" borderId="1" xfId="561" applyNumberFormat="1" applyFont="1" applyFill="1" applyBorder="1" applyAlignment="1">
      <alignment horizontal="right" vertical="center" wrapText="1"/>
    </xf>
    <xf numFmtId="0" fontId="16" fillId="0" borderId="0" xfId="561" applyFont="1" applyBorder="1" applyAlignment="1">
      <alignment horizontal="center" vertical="center"/>
    </xf>
    <xf numFmtId="0" fontId="16" fillId="71" borderId="0" xfId="561" applyFont="1" applyFill="1" applyBorder="1" applyAlignment="1">
      <alignment horizontal="left" vertical="center" wrapText="1" indent="1"/>
    </xf>
    <xf numFmtId="170" fontId="70" fillId="71" borderId="0" xfId="561" applyNumberFormat="1" applyFont="1" applyFill="1" applyBorder="1" applyAlignment="1">
      <alignment horizontal="right" vertical="center" wrapText="1"/>
    </xf>
    <xf numFmtId="170" fontId="16" fillId="71" borderId="0" xfId="561" applyNumberFormat="1" applyFont="1" applyFill="1" applyBorder="1" applyAlignment="1">
      <alignment horizontal="right" vertical="center" wrapText="1"/>
    </xf>
    <xf numFmtId="164" fontId="70" fillId="0" borderId="0" xfId="0" applyNumberFormat="1" applyFont="1" applyBorder="1" applyAlignment="1">
      <alignment horizontal="right" vertical="center" wrapText="1"/>
    </xf>
    <xf numFmtId="164" fontId="16" fillId="3" borderId="0" xfId="0" applyNumberFormat="1" applyFont="1" applyFill="1" applyBorder="1" applyAlignment="1">
      <alignment horizontal="right" vertical="center" wrapText="1"/>
    </xf>
    <xf numFmtId="0" fontId="73" fillId="0" borderId="3" xfId="0" applyFont="1" applyBorder="1" applyAlignment="1">
      <alignment horizontal="center" vertical="center" wrapText="1"/>
    </xf>
    <xf numFmtId="0" fontId="0" fillId="6" borderId="0" xfId="0" applyFill="1"/>
    <xf numFmtId="0" fontId="0" fillId="2" borderId="0" xfId="0" applyFill="1"/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vertical="top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72" fillId="0" borderId="0" xfId="0" applyFont="1" applyAlignment="1">
      <alignment wrapText="1"/>
    </xf>
    <xf numFmtId="164" fontId="75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center" vertical="center" wrapText="1"/>
    </xf>
    <xf numFmtId="164" fontId="75" fillId="0" borderId="1" xfId="0" applyNumberFormat="1" applyFont="1" applyBorder="1" applyAlignment="1">
      <alignment horizontal="center" vertical="center"/>
    </xf>
    <xf numFmtId="164" fontId="7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/>
    <xf numFmtId="169" fontId="6" fillId="0" borderId="0" xfId="0" applyNumberFormat="1" applyFont="1"/>
    <xf numFmtId="0" fontId="6" fillId="6" borderId="0" xfId="0" applyFont="1" applyFill="1"/>
    <xf numFmtId="169" fontId="6" fillId="6" borderId="0" xfId="0" applyNumberFormat="1" applyFont="1" applyFill="1"/>
    <xf numFmtId="169" fontId="5" fillId="4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168" fontId="3" fillId="0" borderId="0" xfId="0" applyNumberFormat="1" applyFont="1"/>
    <xf numFmtId="169" fontId="0" fillId="3" borderId="0" xfId="0" applyNumberFormat="1" applyFill="1"/>
    <xf numFmtId="169" fontId="0" fillId="2" borderId="0" xfId="0" applyNumberFormat="1" applyFill="1"/>
    <xf numFmtId="169" fontId="0" fillId="6" borderId="0" xfId="0" applyNumberFormat="1" applyFill="1"/>
    <xf numFmtId="164" fontId="77" fillId="3" borderId="1" xfId="0" applyNumberFormat="1" applyFont="1" applyFill="1" applyBorder="1" applyAlignment="1">
      <alignment horizontal="center" vertical="center" wrapText="1"/>
    </xf>
    <xf numFmtId="0" fontId="70" fillId="3" borderId="1" xfId="0" applyFont="1" applyFill="1" applyBorder="1" applyAlignment="1">
      <alignment horizontal="center" vertical="top" wrapText="1"/>
    </xf>
    <xf numFmtId="0" fontId="70" fillId="3" borderId="1" xfId="0" applyFont="1" applyFill="1" applyBorder="1" applyAlignment="1">
      <alignment vertical="justify" wrapText="1"/>
    </xf>
    <xf numFmtId="164" fontId="70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169" fontId="2" fillId="3" borderId="0" xfId="0" applyNumberFormat="1" applyFont="1" applyFill="1"/>
    <xf numFmtId="49" fontId="5" fillId="73" borderId="1" xfId="1" applyNumberFormat="1" applyFont="1" applyFill="1" applyBorder="1" applyAlignment="1">
      <alignment horizontal="center" wrapText="1"/>
    </xf>
    <xf numFmtId="0" fontId="5" fillId="73" borderId="1" xfId="1" applyFont="1" applyFill="1" applyBorder="1" applyAlignment="1">
      <alignment wrapText="1"/>
    </xf>
    <xf numFmtId="164" fontId="5" fillId="73" borderId="1" xfId="1" applyNumberFormat="1" applyFont="1" applyFill="1" applyBorder="1" applyAlignment="1">
      <alignment horizontal="center" wrapText="1"/>
    </xf>
    <xf numFmtId="0" fontId="5" fillId="73" borderId="1" xfId="0" applyFont="1" applyFill="1" applyBorder="1" applyAlignment="1">
      <alignment wrapText="1"/>
    </xf>
    <xf numFmtId="0" fontId="3" fillId="73" borderId="1" xfId="0" applyFont="1" applyFill="1" applyBorder="1"/>
    <xf numFmtId="49" fontId="5" fillId="73" borderId="1" xfId="1" applyNumberFormat="1" applyFont="1" applyFill="1" applyBorder="1" applyAlignment="1">
      <alignment horizontal="center" vertical="top" wrapText="1"/>
    </xf>
    <xf numFmtId="164" fontId="5" fillId="73" borderId="1" xfId="1" applyNumberFormat="1" applyFont="1" applyFill="1" applyBorder="1" applyAlignment="1">
      <alignment horizontal="center" vertical="top" wrapText="1"/>
    </xf>
    <xf numFmtId="49" fontId="6" fillId="73" borderId="1" xfId="1" applyNumberFormat="1" applyFont="1" applyFill="1" applyBorder="1" applyAlignment="1">
      <alignment horizontal="center" wrapText="1"/>
    </xf>
    <xf numFmtId="0" fontId="11" fillId="73" borderId="1" xfId="0" applyFont="1" applyFill="1" applyBorder="1"/>
    <xf numFmtId="0" fontId="5" fillId="73" borderId="1" xfId="1" applyNumberFormat="1" applyFont="1" applyFill="1" applyBorder="1" applyAlignment="1">
      <alignment horizontal="center" vertical="top" wrapText="1"/>
    </xf>
    <xf numFmtId="0" fontId="5" fillId="73" borderId="2" xfId="1" applyFont="1" applyFill="1" applyBorder="1" applyAlignment="1">
      <alignment wrapText="1"/>
    </xf>
    <xf numFmtId="0" fontId="5" fillId="73" borderId="1" xfId="1" applyFont="1" applyFill="1" applyBorder="1" applyAlignment="1">
      <alignment horizontal="left" wrapText="1"/>
    </xf>
    <xf numFmtId="164" fontId="5" fillId="73" borderId="1" xfId="0" applyNumberFormat="1" applyFont="1" applyFill="1" applyBorder="1" applyAlignment="1">
      <alignment horizontal="center"/>
    </xf>
    <xf numFmtId="0" fontId="5" fillId="73" borderId="1" xfId="1" applyFont="1" applyFill="1" applyBorder="1" applyAlignment="1">
      <alignment horizontal="justify" wrapText="1"/>
    </xf>
    <xf numFmtId="0" fontId="5" fillId="73" borderId="1" xfId="1" applyFont="1" applyFill="1" applyBorder="1" applyAlignment="1">
      <alignment horizontal="center" vertical="top" wrapText="1"/>
    </xf>
    <xf numFmtId="0" fontId="5" fillId="73" borderId="1" xfId="1" applyFont="1" applyFill="1" applyBorder="1" applyAlignment="1">
      <alignment horizontal="left" vertical="top" wrapText="1"/>
    </xf>
    <xf numFmtId="49" fontId="5" fillId="8" borderId="1" xfId="1" applyNumberFormat="1" applyFont="1" applyFill="1" applyBorder="1" applyAlignment="1">
      <alignment horizontal="center" wrapText="1"/>
    </xf>
    <xf numFmtId="49" fontId="5" fillId="8" borderId="1" xfId="1" applyNumberFormat="1" applyFont="1" applyFill="1" applyBorder="1" applyAlignment="1">
      <alignment wrapText="1"/>
    </xf>
    <xf numFmtId="0" fontId="5" fillId="8" borderId="2" xfId="1" applyFont="1" applyFill="1" applyBorder="1" applyAlignment="1">
      <alignment wrapText="1"/>
    </xf>
    <xf numFmtId="0" fontId="5" fillId="8" borderId="1" xfId="1" applyFont="1" applyFill="1" applyBorder="1" applyAlignment="1">
      <alignment wrapText="1"/>
    </xf>
    <xf numFmtId="49" fontId="6" fillId="8" borderId="1" xfId="1" applyNumberFormat="1" applyFont="1" applyFill="1" applyBorder="1" applyAlignment="1">
      <alignment horizontal="center" wrapText="1"/>
    </xf>
    <xf numFmtId="0" fontId="70" fillId="73" borderId="1" xfId="0" applyFont="1" applyFill="1" applyBorder="1" applyAlignment="1">
      <alignment horizontal="center" vertical="top" wrapText="1"/>
    </xf>
    <xf numFmtId="0" fontId="70" fillId="73" borderId="1" xfId="0" applyFont="1" applyFill="1" applyBorder="1" applyAlignment="1">
      <alignment vertical="top" wrapText="1"/>
    </xf>
    <xf numFmtId="164" fontId="70" fillId="73" borderId="1" xfId="0" applyNumberFormat="1" applyFont="1" applyFill="1" applyBorder="1" applyAlignment="1">
      <alignment horizontal="center" vertical="center" wrapText="1"/>
    </xf>
    <xf numFmtId="0" fontId="70" fillId="72" borderId="1" xfId="0" applyFont="1" applyFill="1" applyBorder="1" applyAlignment="1">
      <alignment horizontal="center" vertical="top" wrapText="1"/>
    </xf>
    <xf numFmtId="0" fontId="70" fillId="72" borderId="1" xfId="0" applyFont="1" applyFill="1" applyBorder="1" applyAlignment="1">
      <alignment vertical="top" wrapText="1"/>
    </xf>
    <xf numFmtId="164" fontId="70" fillId="72" borderId="1" xfId="0" applyNumberFormat="1" applyFont="1" applyFill="1" applyBorder="1" applyAlignment="1">
      <alignment horizontal="center" vertical="center" wrapText="1"/>
    </xf>
    <xf numFmtId="164" fontId="76" fillId="72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vertical="top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justify" wrapText="1"/>
    </xf>
    <xf numFmtId="164" fontId="75" fillId="5" borderId="1" xfId="0" applyNumberFormat="1" applyFont="1" applyFill="1" applyBorder="1" applyAlignment="1">
      <alignment horizontal="center" vertical="center"/>
    </xf>
    <xf numFmtId="164" fontId="70" fillId="5" borderId="1" xfId="0" applyNumberFormat="1" applyFont="1" applyFill="1" applyBorder="1" applyAlignment="1">
      <alignment horizontal="center" vertical="center" wrapText="1"/>
    </xf>
    <xf numFmtId="164" fontId="76" fillId="5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top" wrapText="1"/>
    </xf>
    <xf numFmtId="0" fontId="78" fillId="8" borderId="1" xfId="1" applyFont="1" applyFill="1" applyBorder="1" applyAlignment="1">
      <alignment horizontal="center" vertical="top" wrapText="1"/>
    </xf>
    <xf numFmtId="49" fontId="78" fillId="7" borderId="1" xfId="1" applyNumberFormat="1" applyFont="1" applyFill="1" applyBorder="1" applyAlignment="1">
      <alignment horizontal="center" wrapText="1"/>
    </xf>
    <xf numFmtId="49" fontId="78" fillId="73" borderId="1" xfId="1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/>
    <xf numFmtId="164" fontId="5" fillId="8" borderId="1" xfId="0" applyNumberFormat="1" applyFont="1" applyFill="1" applyBorder="1"/>
    <xf numFmtId="164" fontId="5" fillId="7" borderId="1" xfId="0" applyNumberFormat="1" applyFont="1" applyFill="1" applyBorder="1"/>
    <xf numFmtId="164" fontId="5" fillId="73" borderId="1" xfId="0" applyNumberFormat="1" applyFont="1" applyFill="1" applyBorder="1"/>
    <xf numFmtId="164" fontId="6" fillId="3" borderId="1" xfId="0" applyNumberFormat="1" applyFont="1" applyFill="1" applyBorder="1"/>
    <xf numFmtId="164" fontId="6" fillId="0" borderId="1" xfId="0" applyNumberFormat="1" applyFont="1" applyBorder="1"/>
    <xf numFmtId="164" fontId="10" fillId="3" borderId="1" xfId="0" applyNumberFormat="1" applyFont="1" applyFill="1" applyBorder="1"/>
    <xf numFmtId="164" fontId="6" fillId="0" borderId="1" xfId="0" applyNumberFormat="1" applyFont="1" applyFill="1" applyBorder="1"/>
    <xf numFmtId="164" fontId="5" fillId="7" borderId="1" xfId="1" applyNumberFormat="1" applyFont="1" applyFill="1" applyBorder="1" applyAlignment="1">
      <alignment wrapText="1"/>
    </xf>
    <xf numFmtId="164" fontId="5" fillId="73" borderId="1" xfId="1" applyNumberFormat="1" applyFont="1" applyFill="1" applyBorder="1" applyAlignment="1">
      <alignment wrapText="1"/>
    </xf>
    <xf numFmtId="164" fontId="6" fillId="3" borderId="1" xfId="1" applyNumberFormat="1" applyFont="1" applyFill="1" applyBorder="1" applyAlignment="1">
      <alignment horizontal="right" wrapText="1"/>
    </xf>
    <xf numFmtId="164" fontId="5" fillId="4" borderId="1" xfId="0" applyNumberFormat="1" applyFont="1" applyFill="1" applyBorder="1"/>
    <xf numFmtId="164" fontId="6" fillId="3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5" fillId="8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4" fontId="6" fillId="3" borderId="28" xfId="0" applyNumberFormat="1" applyFont="1" applyFill="1" applyBorder="1"/>
    <xf numFmtId="49" fontId="6" fillId="3" borderId="28" xfId="1" applyNumberFormat="1" applyFont="1" applyFill="1" applyBorder="1" applyAlignment="1">
      <alignment horizontal="center" wrapText="1"/>
    </xf>
    <xf numFmtId="0" fontId="6" fillId="3" borderId="28" xfId="1" applyFont="1" applyFill="1" applyBorder="1" applyAlignment="1">
      <alignment wrapText="1"/>
    </xf>
    <xf numFmtId="49" fontId="6" fillId="3" borderId="28" xfId="1" applyNumberFormat="1" applyFont="1" applyFill="1" applyBorder="1" applyAlignment="1">
      <alignment horizontal="center" vertical="top" wrapText="1"/>
    </xf>
    <xf numFmtId="0" fontId="6" fillId="3" borderId="28" xfId="1" applyFont="1" applyFill="1" applyBorder="1" applyAlignment="1">
      <alignment vertical="top" wrapText="1"/>
    </xf>
    <xf numFmtId="0" fontId="3" fillId="0" borderId="28" xfId="0" applyFont="1" applyBorder="1"/>
    <xf numFmtId="164" fontId="6" fillId="3" borderId="28" xfId="1" applyNumberFormat="1" applyFont="1" applyFill="1" applyBorder="1" applyAlignment="1">
      <alignment horizontal="center" wrapText="1"/>
    </xf>
    <xf numFmtId="164" fontId="5" fillId="4" borderId="28" xfId="1" applyNumberFormat="1" applyFont="1" applyFill="1" applyBorder="1" applyAlignment="1">
      <alignment horizontal="center" wrapText="1"/>
    </xf>
    <xf numFmtId="164" fontId="5" fillId="8" borderId="28" xfId="1" applyNumberFormat="1" applyFont="1" applyFill="1" applyBorder="1" applyAlignment="1">
      <alignment horizontal="center" wrapText="1"/>
    </xf>
    <xf numFmtId="49" fontId="6" fillId="0" borderId="28" xfId="1" applyNumberFormat="1" applyFont="1" applyFill="1" applyBorder="1" applyAlignment="1">
      <alignment horizontal="center" wrapText="1"/>
    </xf>
    <xf numFmtId="0" fontId="6" fillId="0" borderId="28" xfId="1" applyFont="1" applyBorder="1" applyAlignment="1">
      <alignment horizontal="left" wrapText="1"/>
    </xf>
    <xf numFmtId="49" fontId="5" fillId="3" borderId="28" xfId="1" applyNumberFormat="1" applyFont="1" applyFill="1" applyBorder="1" applyAlignment="1">
      <alignment horizontal="center" vertical="top" wrapText="1"/>
    </xf>
    <xf numFmtId="49" fontId="5" fillId="4" borderId="28" xfId="1" applyNumberFormat="1" applyFont="1" applyFill="1" applyBorder="1" applyAlignment="1">
      <alignment horizontal="center" wrapText="1"/>
    </xf>
    <xf numFmtId="0" fontId="5" fillId="4" borderId="28" xfId="1" applyFont="1" applyFill="1" applyBorder="1" applyAlignment="1">
      <alignment wrapText="1"/>
    </xf>
    <xf numFmtId="49" fontId="6" fillId="8" borderId="28" xfId="1" applyNumberFormat="1" applyFont="1" applyFill="1" applyBorder="1" applyAlignment="1">
      <alignment horizontal="center" wrapText="1"/>
    </xf>
    <xf numFmtId="49" fontId="5" fillId="8" borderId="28" xfId="1" applyNumberFormat="1" applyFont="1" applyFill="1" applyBorder="1" applyAlignment="1">
      <alignment horizontal="center" wrapText="1"/>
    </xf>
    <xf numFmtId="0" fontId="5" fillId="8" borderId="28" xfId="1" applyFont="1" applyFill="1" applyBorder="1" applyAlignment="1">
      <alignment wrapText="1"/>
    </xf>
    <xf numFmtId="49" fontId="6" fillId="4" borderId="28" xfId="1" applyNumberFormat="1" applyFont="1" applyFill="1" applyBorder="1" applyAlignment="1">
      <alignment horizontal="center" wrapText="1"/>
    </xf>
    <xf numFmtId="0" fontId="6" fillId="0" borderId="28" xfId="3" applyFont="1" applyBorder="1" applyAlignment="1">
      <alignment horizontal="left" vertical="top" wrapText="1"/>
    </xf>
    <xf numFmtId="49" fontId="6" fillId="3" borderId="2" xfId="1" applyNumberFormat="1" applyFont="1" applyFill="1" applyBorder="1" applyAlignment="1">
      <alignment wrapText="1"/>
    </xf>
    <xf numFmtId="0" fontId="6" fillId="3" borderId="1" xfId="0" applyFont="1" applyFill="1" applyBorder="1" applyAlignment="1"/>
    <xf numFmtId="49" fontId="6" fillId="0" borderId="28" xfId="1" applyNumberFormat="1" applyFont="1" applyFill="1" applyBorder="1" applyAlignment="1">
      <alignment horizontal="center" vertical="top" wrapText="1"/>
    </xf>
    <xf numFmtId="49" fontId="5" fillId="0" borderId="28" xfId="1" applyNumberFormat="1" applyFont="1" applyFill="1" applyBorder="1" applyAlignment="1">
      <alignment horizontal="center" vertical="top" wrapText="1"/>
    </xf>
    <xf numFmtId="0" fontId="6" fillId="0" borderId="28" xfId="1" applyFont="1" applyFill="1" applyBorder="1" applyAlignment="1">
      <alignment wrapText="1"/>
    </xf>
    <xf numFmtId="0" fontId="6" fillId="0" borderId="28" xfId="1" applyFont="1" applyFill="1" applyBorder="1" applyAlignment="1">
      <alignment horizontal="left" wrapText="1"/>
    </xf>
    <xf numFmtId="0" fontId="3" fillId="0" borderId="29" xfId="0" applyFont="1" applyBorder="1"/>
    <xf numFmtId="49" fontId="5" fillId="3" borderId="29" xfId="1" applyNumberFormat="1" applyFont="1" applyFill="1" applyBorder="1" applyAlignment="1">
      <alignment horizontal="center" vertical="top" wrapText="1"/>
    </xf>
    <xf numFmtId="49" fontId="6" fillId="3" borderId="29" xfId="1" applyNumberFormat="1" applyFont="1" applyFill="1" applyBorder="1" applyAlignment="1">
      <alignment horizontal="center" wrapText="1"/>
    </xf>
    <xf numFmtId="49" fontId="5" fillId="3" borderId="30" xfId="1" applyNumberFormat="1" applyFont="1" applyFill="1" applyBorder="1" applyAlignment="1">
      <alignment horizontal="center" vertical="top" wrapText="1"/>
    </xf>
    <xf numFmtId="49" fontId="6" fillId="3" borderId="30" xfId="1" applyNumberFormat="1" applyFont="1" applyFill="1" applyBorder="1" applyAlignment="1">
      <alignment horizontal="center" wrapText="1"/>
    </xf>
    <xf numFmtId="164" fontId="6" fillId="3" borderId="30" xfId="0" applyNumberFormat="1" applyFont="1" applyFill="1" applyBorder="1"/>
    <xf numFmtId="0" fontId="0" fillId="0" borderId="33" xfId="0" applyBorder="1"/>
    <xf numFmtId="49" fontId="6" fillId="3" borderId="33" xfId="1" applyNumberFormat="1" applyFont="1" applyFill="1" applyBorder="1" applyAlignment="1">
      <alignment horizontal="center" wrapText="1"/>
    </xf>
    <xf numFmtId="0" fontId="6" fillId="3" borderId="32" xfId="1" applyFont="1" applyFill="1" applyBorder="1" applyAlignment="1">
      <alignment wrapText="1"/>
    </xf>
    <xf numFmtId="164" fontId="6" fillId="3" borderId="33" xfId="0" applyNumberFormat="1" applyFont="1" applyFill="1" applyBorder="1"/>
    <xf numFmtId="0" fontId="6" fillId="3" borderId="33" xfId="1" applyFont="1" applyFill="1" applyBorder="1" applyAlignment="1">
      <alignment wrapText="1"/>
    </xf>
    <xf numFmtId="49" fontId="6" fillId="3" borderId="33" xfId="1" applyNumberFormat="1" applyFont="1" applyFill="1" applyBorder="1" applyAlignment="1">
      <alignment horizontal="center" vertical="top" wrapText="1"/>
    </xf>
    <xf numFmtId="0" fontId="6" fillId="0" borderId="33" xfId="1" applyFont="1" applyBorder="1" applyAlignment="1">
      <alignment horizontal="left" wrapText="1"/>
    </xf>
    <xf numFmtId="49" fontId="6" fillId="0" borderId="33" xfId="1" applyNumberFormat="1" applyFont="1" applyFill="1" applyBorder="1" applyAlignment="1">
      <alignment horizontal="center" vertical="top" wrapText="1"/>
    </xf>
    <xf numFmtId="49" fontId="5" fillId="73" borderId="33" xfId="1" applyNumberFormat="1" applyFont="1" applyFill="1" applyBorder="1" applyAlignment="1">
      <alignment horizontal="center" wrapText="1"/>
    </xf>
    <xf numFmtId="49" fontId="5" fillId="3" borderId="33" xfId="1" applyNumberFormat="1" applyFont="1" applyFill="1" applyBorder="1" applyAlignment="1">
      <alignment horizontal="center" wrapText="1"/>
    </xf>
    <xf numFmtId="0" fontId="6" fillId="0" borderId="33" xfId="1" applyFont="1" applyFill="1" applyBorder="1" applyAlignment="1">
      <alignment horizontal="left" wrapText="1"/>
    </xf>
    <xf numFmtId="49" fontId="6" fillId="3" borderId="33" xfId="1" applyNumberFormat="1" applyFont="1" applyFill="1" applyBorder="1" applyAlignment="1">
      <alignment horizontal="center" vertical="center" wrapText="1"/>
    </xf>
    <xf numFmtId="0" fontId="5" fillId="73" borderId="33" xfId="1" applyFont="1" applyFill="1" applyBorder="1" applyAlignment="1">
      <alignment wrapText="1"/>
    </xf>
    <xf numFmtId="164" fontId="6" fillId="0" borderId="33" xfId="1" applyNumberFormat="1" applyFont="1" applyFill="1" applyBorder="1" applyAlignment="1">
      <alignment horizontal="center" wrapText="1"/>
    </xf>
    <xf numFmtId="164" fontId="6" fillId="3" borderId="33" xfId="0" applyNumberFormat="1" applyFont="1" applyFill="1" applyBorder="1" applyAlignment="1">
      <alignment horizontal="center"/>
    </xf>
    <xf numFmtId="0" fontId="3" fillId="0" borderId="33" xfId="0" applyFont="1" applyBorder="1"/>
    <xf numFmtId="49" fontId="9" fillId="3" borderId="33" xfId="1" applyNumberFormat="1" applyFont="1" applyFill="1" applyBorder="1" applyAlignment="1">
      <alignment horizontal="center" wrapText="1"/>
    </xf>
    <xf numFmtId="49" fontId="6" fillId="73" borderId="33" xfId="1" applyNumberFormat="1" applyFont="1" applyFill="1" applyBorder="1" applyAlignment="1">
      <alignment horizontal="center" wrapText="1"/>
    </xf>
    <xf numFmtId="0" fontId="5" fillId="73" borderId="33" xfId="1" applyFont="1" applyFill="1" applyBorder="1" applyAlignment="1">
      <alignment horizontal="left" wrapText="1"/>
    </xf>
    <xf numFmtId="0" fontId="6" fillId="3" borderId="33" xfId="1" applyFont="1" applyFill="1" applyBorder="1" applyAlignment="1">
      <alignment vertical="top" wrapText="1"/>
    </xf>
    <xf numFmtId="49" fontId="6" fillId="0" borderId="33" xfId="1" applyNumberFormat="1" applyFont="1" applyFill="1" applyBorder="1" applyAlignment="1">
      <alignment horizontal="center" wrapText="1"/>
    </xf>
    <xf numFmtId="0" fontId="6" fillId="0" borderId="32" xfId="1" applyFont="1" applyFill="1" applyBorder="1" applyAlignment="1">
      <alignment wrapText="1"/>
    </xf>
    <xf numFmtId="0" fontId="5" fillId="73" borderId="33" xfId="1" applyNumberFormat="1" applyFont="1" applyFill="1" applyBorder="1" applyAlignment="1">
      <alignment horizontal="center" vertical="top" wrapText="1"/>
    </xf>
    <xf numFmtId="49" fontId="5" fillId="73" borderId="33" xfId="1" applyNumberFormat="1" applyFont="1" applyFill="1" applyBorder="1" applyAlignment="1">
      <alignment horizontal="center" vertical="top" wrapText="1"/>
    </xf>
    <xf numFmtId="0" fontId="5" fillId="73" borderId="33" xfId="1" applyFont="1" applyFill="1" applyBorder="1" applyAlignment="1">
      <alignment vertical="top" wrapText="1"/>
    </xf>
    <xf numFmtId="49" fontId="10" fillId="3" borderId="33" xfId="1" applyNumberFormat="1" applyFont="1" applyFill="1" applyBorder="1" applyAlignment="1">
      <alignment horizontal="center" wrapText="1"/>
    </xf>
    <xf numFmtId="0" fontId="6" fillId="3" borderId="33" xfId="1" applyFont="1" applyFill="1" applyBorder="1" applyAlignment="1">
      <alignment horizontal="left" wrapText="1"/>
    </xf>
    <xf numFmtId="0" fontId="16" fillId="5" borderId="33" xfId="0" applyFont="1" applyFill="1" applyBorder="1" applyAlignment="1">
      <alignment horizontal="center" vertical="top" wrapText="1"/>
    </xf>
    <xf numFmtId="0" fontId="16" fillId="5" borderId="33" xfId="0" applyFont="1" applyFill="1" applyBorder="1" applyAlignment="1">
      <alignment vertical="top" wrapText="1"/>
    </xf>
    <xf numFmtId="164" fontId="70" fillId="5" borderId="33" xfId="0" applyNumberFormat="1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vertical="top" wrapText="1"/>
    </xf>
    <xf numFmtId="164" fontId="6" fillId="0" borderId="33" xfId="1" applyNumberFormat="1" applyFont="1" applyFill="1" applyBorder="1" applyAlignment="1">
      <alignment horizontal="right" wrapText="1"/>
    </xf>
    <xf numFmtId="164" fontId="6" fillId="3" borderId="1" xfId="0" applyNumberFormat="1" applyFont="1" applyFill="1" applyBorder="1" applyAlignment="1">
      <alignment horizontal="right"/>
    </xf>
    <xf numFmtId="164" fontId="5" fillId="73" borderId="33" xfId="1" applyNumberFormat="1" applyFont="1" applyFill="1" applyBorder="1" applyAlignment="1">
      <alignment horizontal="right" wrapText="1"/>
    </xf>
    <xf numFmtId="49" fontId="6" fillId="3" borderId="34" xfId="1" applyNumberFormat="1" applyFont="1" applyFill="1" applyBorder="1" applyAlignment="1">
      <alignment horizontal="center" wrapText="1"/>
    </xf>
    <xf numFmtId="49" fontId="6" fillId="3" borderId="35" xfId="1" applyNumberFormat="1" applyFont="1" applyFill="1" applyBorder="1" applyAlignment="1">
      <alignment horizontal="center" wrapText="1"/>
    </xf>
    <xf numFmtId="0" fontId="6" fillId="3" borderId="35" xfId="1" applyFont="1" applyFill="1" applyBorder="1" applyAlignment="1">
      <alignment wrapText="1"/>
    </xf>
    <xf numFmtId="49" fontId="6" fillId="3" borderId="35" xfId="1" applyNumberFormat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vertical="center" wrapText="1"/>
    </xf>
    <xf numFmtId="0" fontId="3" fillId="0" borderId="35" xfId="0" applyFont="1" applyBorder="1"/>
    <xf numFmtId="164" fontId="6" fillId="0" borderId="35" xfId="1" applyNumberFormat="1" applyFont="1" applyFill="1" applyBorder="1" applyAlignment="1">
      <alignment horizontal="center" wrapText="1"/>
    </xf>
    <xf numFmtId="0" fontId="16" fillId="3" borderId="35" xfId="0" applyFont="1" applyFill="1" applyBorder="1" applyAlignment="1">
      <alignment horizontal="center" vertical="top" wrapText="1"/>
    </xf>
    <xf numFmtId="164" fontId="16" fillId="3" borderId="35" xfId="0" applyNumberFormat="1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wrapText="1"/>
    </xf>
    <xf numFmtId="0" fontId="6" fillId="0" borderId="33" xfId="1" applyFont="1" applyFill="1" applyBorder="1" applyAlignment="1">
      <alignment vertical="top" wrapText="1"/>
    </xf>
    <xf numFmtId="49" fontId="6" fillId="0" borderId="35" xfId="1" applyNumberFormat="1" applyFont="1" applyFill="1" applyBorder="1" applyAlignment="1">
      <alignment horizontal="center" wrapText="1"/>
    </xf>
    <xf numFmtId="49" fontId="9" fillId="0" borderId="35" xfId="1" applyNumberFormat="1" applyFont="1" applyFill="1" applyBorder="1" applyAlignment="1">
      <alignment horizontal="center" wrapText="1"/>
    </xf>
    <xf numFmtId="49" fontId="6" fillId="0" borderId="35" xfId="1" applyNumberFormat="1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vertical="top" wrapText="1"/>
    </xf>
    <xf numFmtId="49" fontId="6" fillId="3" borderId="36" xfId="1" applyNumberFormat="1" applyFont="1" applyFill="1" applyBorder="1" applyAlignment="1">
      <alignment horizontal="center" wrapText="1"/>
    </xf>
    <xf numFmtId="164" fontId="6" fillId="3" borderId="36" xfId="0" applyNumberFormat="1" applyFont="1" applyFill="1" applyBorder="1"/>
    <xf numFmtId="49" fontId="5" fillId="3" borderId="36" xfId="1" applyNumberFormat="1" applyFont="1" applyFill="1" applyBorder="1" applyAlignment="1">
      <alignment horizontal="center" wrapText="1"/>
    </xf>
    <xf numFmtId="0" fontId="6" fillId="3" borderId="36" xfId="0" applyFont="1" applyFill="1" applyBorder="1" applyAlignment="1">
      <alignment wrapText="1"/>
    </xf>
    <xf numFmtId="0" fontId="6" fillId="3" borderId="36" xfId="1" applyFont="1" applyFill="1" applyBorder="1" applyAlignment="1">
      <alignment wrapText="1"/>
    </xf>
    <xf numFmtId="164" fontId="6" fillId="3" borderId="36" xfId="1" applyNumberFormat="1" applyFont="1" applyFill="1" applyBorder="1" applyAlignment="1">
      <alignment horizontal="right" wrapText="1"/>
    </xf>
    <xf numFmtId="0" fontId="16" fillId="3" borderId="36" xfId="0" applyFont="1" applyFill="1" applyBorder="1" applyAlignment="1">
      <alignment horizontal="center" vertical="top" wrapText="1"/>
    </xf>
    <xf numFmtId="0" fontId="77" fillId="3" borderId="1" xfId="0" applyFont="1" applyFill="1" applyBorder="1" applyAlignment="1">
      <alignment wrapText="1"/>
    </xf>
    <xf numFmtId="0" fontId="3" fillId="0" borderId="36" xfId="0" applyFont="1" applyBorder="1"/>
    <xf numFmtId="164" fontId="6" fillId="0" borderId="36" xfId="1" applyNumberFormat="1" applyFont="1" applyFill="1" applyBorder="1" applyAlignment="1">
      <alignment horizontal="center" wrapText="1"/>
    </xf>
    <xf numFmtId="164" fontId="16" fillId="3" borderId="36" xfId="0" applyNumberFormat="1" applyFont="1" applyFill="1" applyBorder="1" applyAlignment="1">
      <alignment horizontal="center" vertical="center" wrapText="1"/>
    </xf>
    <xf numFmtId="164" fontId="6" fillId="0" borderId="33" xfId="0" applyNumberFormat="1" applyFont="1" applyFill="1" applyBorder="1"/>
    <xf numFmtId="164" fontId="77" fillId="3" borderId="36" xfId="0" applyNumberFormat="1" applyFont="1" applyFill="1" applyBorder="1" applyAlignment="1">
      <alignment horizontal="center" vertical="center" wrapText="1"/>
    </xf>
    <xf numFmtId="49" fontId="6" fillId="3" borderId="39" xfId="1" applyNumberFormat="1" applyFont="1" applyFill="1" applyBorder="1" applyAlignment="1">
      <alignment horizontal="center" wrapText="1"/>
    </xf>
    <xf numFmtId="49" fontId="6" fillId="3" borderId="39" xfId="1" applyNumberFormat="1" applyFont="1" applyFill="1" applyBorder="1" applyAlignment="1">
      <alignment horizontal="center" vertical="top" wrapText="1"/>
    </xf>
    <xf numFmtId="164" fontId="6" fillId="3" borderId="39" xfId="1" applyNumberFormat="1" applyFont="1" applyFill="1" applyBorder="1" applyAlignment="1">
      <alignment horizontal="center" wrapText="1"/>
    </xf>
    <xf numFmtId="49" fontId="6" fillId="3" borderId="40" xfId="1" applyNumberFormat="1" applyFont="1" applyFill="1" applyBorder="1" applyAlignment="1">
      <alignment horizontal="center" wrapText="1"/>
    </xf>
    <xf numFmtId="0" fontId="3" fillId="0" borderId="40" xfId="0" applyFont="1" applyBorder="1"/>
    <xf numFmtId="164" fontId="6" fillId="3" borderId="40" xfId="1" applyNumberFormat="1" applyFont="1" applyFill="1" applyBorder="1" applyAlignment="1">
      <alignment horizontal="center" wrapText="1"/>
    </xf>
    <xf numFmtId="0" fontId="5" fillId="0" borderId="23" xfId="1" applyFont="1" applyFill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center" wrapText="1"/>
    </xf>
    <xf numFmtId="171" fontId="5" fillId="2" borderId="1" xfId="1" applyNumberFormat="1" applyFont="1" applyFill="1" applyBorder="1" applyAlignment="1">
      <alignment horizontal="center" wrapText="1"/>
    </xf>
    <xf numFmtId="171" fontId="5" fillId="0" borderId="1" xfId="1" applyNumberFormat="1" applyFont="1" applyFill="1" applyBorder="1" applyAlignment="1">
      <alignment horizontal="center" wrapText="1"/>
    </xf>
    <xf numFmtId="171" fontId="5" fillId="8" borderId="1" xfId="1" applyNumberFormat="1" applyFont="1" applyFill="1" applyBorder="1" applyAlignment="1">
      <alignment horizontal="center" vertical="top" wrapText="1"/>
    </xf>
    <xf numFmtId="171" fontId="5" fillId="7" borderId="1" xfId="1" applyNumberFormat="1" applyFont="1" applyFill="1" applyBorder="1" applyAlignment="1">
      <alignment horizontal="center" wrapText="1"/>
    </xf>
    <xf numFmtId="171" fontId="5" fillId="73" borderId="1" xfId="1" applyNumberFormat="1" applyFont="1" applyFill="1" applyBorder="1" applyAlignment="1">
      <alignment horizontal="center" wrapText="1"/>
    </xf>
    <xf numFmtId="171" fontId="6" fillId="3" borderId="1" xfId="1" applyNumberFormat="1" applyFont="1" applyFill="1" applyBorder="1" applyAlignment="1">
      <alignment horizontal="center" wrapText="1"/>
    </xf>
    <xf numFmtId="171" fontId="5" fillId="5" borderId="1" xfId="1" applyNumberFormat="1" applyFont="1" applyFill="1" applyBorder="1" applyAlignment="1">
      <alignment horizontal="center"/>
    </xf>
    <xf numFmtId="171" fontId="5" fillId="12" borderId="1" xfId="1" applyNumberFormat="1" applyFont="1" applyFill="1" applyBorder="1" applyAlignment="1">
      <alignment horizontal="center"/>
    </xf>
    <xf numFmtId="171" fontId="6" fillId="3" borderId="40" xfId="1" applyNumberFormat="1" applyFont="1" applyFill="1" applyBorder="1" applyAlignment="1">
      <alignment horizontal="center" wrapText="1"/>
    </xf>
    <xf numFmtId="171" fontId="5" fillId="3" borderId="1" xfId="1" applyNumberFormat="1" applyFont="1" applyFill="1" applyBorder="1" applyAlignment="1">
      <alignment horizontal="center" wrapText="1"/>
    </xf>
    <xf numFmtId="171" fontId="6" fillId="0" borderId="1" xfId="1" applyNumberFormat="1" applyFont="1" applyFill="1" applyBorder="1" applyAlignment="1">
      <alignment horizontal="center" wrapText="1"/>
    </xf>
    <xf numFmtId="171" fontId="6" fillId="0" borderId="36" xfId="1" applyNumberFormat="1" applyFont="1" applyFill="1" applyBorder="1" applyAlignment="1">
      <alignment horizontal="center" wrapText="1"/>
    </xf>
    <xf numFmtId="171" fontId="6" fillId="3" borderId="1" xfId="1" applyNumberFormat="1" applyFont="1" applyFill="1" applyBorder="1" applyAlignment="1">
      <alignment horizontal="center"/>
    </xf>
    <xf numFmtId="171" fontId="5" fillId="3" borderId="1" xfId="1" applyNumberFormat="1" applyFont="1" applyFill="1" applyBorder="1" applyAlignment="1">
      <alignment horizontal="center"/>
    </xf>
    <xf numFmtId="171" fontId="5" fillId="9" borderId="1" xfId="1" applyNumberFormat="1" applyFont="1" applyFill="1" applyBorder="1" applyAlignment="1">
      <alignment horizontal="center" vertical="top" wrapText="1"/>
    </xf>
    <xf numFmtId="171" fontId="5" fillId="73" borderId="1" xfId="1" applyNumberFormat="1" applyFont="1" applyFill="1" applyBorder="1" applyAlignment="1">
      <alignment horizontal="center" vertical="top" wrapText="1"/>
    </xf>
    <xf numFmtId="171" fontId="6" fillId="3" borderId="1" xfId="0" applyNumberFormat="1" applyFont="1" applyFill="1" applyBorder="1" applyAlignment="1">
      <alignment horizontal="center"/>
    </xf>
    <xf numFmtId="171" fontId="5" fillId="5" borderId="1" xfId="1" applyNumberFormat="1" applyFont="1" applyFill="1" applyBorder="1" applyAlignment="1">
      <alignment horizontal="center" wrapText="1"/>
    </xf>
    <xf numFmtId="171" fontId="5" fillId="4" borderId="1" xfId="1" applyNumberFormat="1" applyFont="1" applyFill="1" applyBorder="1" applyAlignment="1">
      <alignment horizontal="center" wrapText="1"/>
    </xf>
    <xf numFmtId="171" fontId="6" fillId="3" borderId="28" xfId="1" applyNumberFormat="1" applyFont="1" applyFill="1" applyBorder="1" applyAlignment="1">
      <alignment horizontal="center" wrapText="1"/>
    </xf>
    <xf numFmtId="171" fontId="10" fillId="0" borderId="1" xfId="0" applyNumberFormat="1" applyFont="1" applyBorder="1" applyAlignment="1">
      <alignment horizontal="center"/>
    </xf>
    <xf numFmtId="171" fontId="5" fillId="4" borderId="1" xfId="1" applyNumberFormat="1" applyFont="1" applyFill="1" applyBorder="1" applyAlignment="1">
      <alignment horizontal="center"/>
    </xf>
    <xf numFmtId="171" fontId="5" fillId="73" borderId="1" xfId="0" applyNumberFormat="1" applyFont="1" applyFill="1" applyBorder="1" applyAlignment="1">
      <alignment horizontal="center"/>
    </xf>
    <xf numFmtId="171" fontId="6" fillId="3" borderId="33" xfId="0" applyNumberFormat="1" applyFont="1" applyFill="1" applyBorder="1" applyAlignment="1">
      <alignment horizontal="center"/>
    </xf>
    <xf numFmtId="171" fontId="11" fillId="73" borderId="1" xfId="0" applyNumberFormat="1" applyFont="1" applyFill="1" applyBorder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171" fontId="3" fillId="3" borderId="1" xfId="0" applyNumberFormat="1" applyFont="1" applyFill="1" applyBorder="1" applyAlignment="1">
      <alignment horizontal="center"/>
    </xf>
    <xf numFmtId="171" fontId="6" fillId="0" borderId="1" xfId="0" applyNumberFormat="1" applyFont="1" applyBorder="1" applyAlignment="1">
      <alignment horizontal="center"/>
    </xf>
    <xf numFmtId="171" fontId="5" fillId="8" borderId="28" xfId="1" applyNumberFormat="1" applyFont="1" applyFill="1" applyBorder="1" applyAlignment="1">
      <alignment horizontal="center" wrapText="1"/>
    </xf>
    <xf numFmtId="171" fontId="5" fillId="4" borderId="28" xfId="1" applyNumberFormat="1" applyFont="1" applyFill="1" applyBorder="1" applyAlignment="1">
      <alignment horizontal="center" wrapText="1"/>
    </xf>
    <xf numFmtId="171" fontId="6" fillId="3" borderId="39" xfId="1" applyNumberFormat="1" applyFont="1" applyFill="1" applyBorder="1" applyAlignment="1">
      <alignment horizontal="center" wrapText="1"/>
    </xf>
    <xf numFmtId="171" fontId="6" fillId="0" borderId="33" xfId="1" applyNumberFormat="1" applyFont="1" applyFill="1" applyBorder="1" applyAlignment="1">
      <alignment horizontal="center" wrapText="1"/>
    </xf>
    <xf numFmtId="171" fontId="5" fillId="8" borderId="1" xfId="1" applyNumberFormat="1" applyFont="1" applyFill="1" applyBorder="1" applyAlignment="1">
      <alignment horizontal="center" wrapText="1"/>
    </xf>
    <xf numFmtId="171" fontId="5" fillId="9" borderId="1" xfId="1" applyNumberFormat="1" applyFont="1" applyFill="1" applyBorder="1" applyAlignment="1">
      <alignment horizontal="center" wrapText="1"/>
    </xf>
    <xf numFmtId="171" fontId="5" fillId="8" borderId="1" xfId="0" applyNumberFormat="1" applyFont="1" applyFill="1" applyBorder="1" applyAlignment="1">
      <alignment horizontal="center"/>
    </xf>
    <xf numFmtId="171" fontId="5" fillId="4" borderId="1" xfId="0" applyNumberFormat="1" applyFont="1" applyFill="1" applyBorder="1" applyAlignment="1">
      <alignment horizontal="center"/>
    </xf>
    <xf numFmtId="171" fontId="5" fillId="0" borderId="1" xfId="1" applyNumberFormat="1" applyFont="1" applyFill="1" applyBorder="1" applyAlignment="1">
      <alignment horizontal="center" vertical="top" wrapText="1"/>
    </xf>
    <xf numFmtId="171" fontId="5" fillId="2" borderId="1" xfId="1" applyNumberFormat="1" applyFont="1" applyFill="1" applyBorder="1" applyAlignment="1">
      <alignment horizontal="center" vertical="top" wrapText="1"/>
    </xf>
    <xf numFmtId="171" fontId="6" fillId="0" borderId="35" xfId="1" applyNumberFormat="1" applyFont="1" applyFill="1" applyBorder="1" applyAlignment="1">
      <alignment horizontal="center" wrapText="1"/>
    </xf>
    <xf numFmtId="171" fontId="6" fillId="0" borderId="1" xfId="1" applyNumberFormat="1" applyFont="1" applyFill="1" applyBorder="1" applyAlignment="1">
      <alignment horizontal="center" vertical="top" wrapText="1"/>
    </xf>
    <xf numFmtId="171" fontId="6" fillId="3" borderId="1" xfId="1" applyNumberFormat="1" applyFont="1" applyFill="1" applyBorder="1" applyAlignment="1">
      <alignment horizontal="center" vertical="top" wrapText="1"/>
    </xf>
    <xf numFmtId="171" fontId="5" fillId="2" borderId="1" xfId="1" applyNumberFormat="1" applyFont="1" applyFill="1" applyBorder="1" applyAlignment="1">
      <alignment horizontal="center"/>
    </xf>
    <xf numFmtId="0" fontId="6" fillId="3" borderId="40" xfId="1" applyFont="1" applyFill="1" applyBorder="1" applyAlignment="1">
      <alignment wrapText="1"/>
    </xf>
    <xf numFmtId="164" fontId="6" fillId="0" borderId="40" xfId="1" applyNumberFormat="1" applyFont="1" applyFill="1" applyBorder="1" applyAlignment="1">
      <alignment horizontal="center" wrapText="1"/>
    </xf>
    <xf numFmtId="171" fontId="6" fillId="0" borderId="40" xfId="1" applyNumberFormat="1" applyFont="1" applyFill="1" applyBorder="1" applyAlignment="1">
      <alignment horizontal="center" wrapText="1"/>
    </xf>
    <xf numFmtId="49" fontId="5" fillId="3" borderId="40" xfId="1" applyNumberFormat="1" applyFont="1" applyFill="1" applyBorder="1" applyAlignment="1">
      <alignment horizontal="center" vertical="top" wrapText="1"/>
    </xf>
    <xf numFmtId="49" fontId="6" fillId="3" borderId="40" xfId="1" applyNumberFormat="1" applyFont="1" applyFill="1" applyBorder="1" applyAlignment="1">
      <alignment horizontal="center" vertical="center" wrapText="1"/>
    </xf>
    <xf numFmtId="164" fontId="6" fillId="3" borderId="40" xfId="0" applyNumberFormat="1" applyFont="1" applyFill="1" applyBorder="1" applyAlignment="1">
      <alignment horizontal="center"/>
    </xf>
    <xf numFmtId="171" fontId="6" fillId="3" borderId="40" xfId="0" applyNumberFormat="1" applyFont="1" applyFill="1" applyBorder="1" applyAlignment="1">
      <alignment horizontal="center"/>
    </xf>
    <xf numFmtId="49" fontId="5" fillId="3" borderId="40" xfId="1" applyNumberFormat="1" applyFont="1" applyFill="1" applyBorder="1" applyAlignment="1">
      <alignment horizontal="center" wrapText="1"/>
    </xf>
    <xf numFmtId="2" fontId="5" fillId="8" borderId="28" xfId="1" applyNumberFormat="1" applyFont="1" applyFill="1" applyBorder="1" applyAlignment="1">
      <alignment horizontal="center" wrapText="1"/>
    </xf>
    <xf numFmtId="2" fontId="5" fillId="4" borderId="28" xfId="1" applyNumberFormat="1" applyFont="1" applyFill="1" applyBorder="1" applyAlignment="1">
      <alignment horizontal="center" wrapText="1"/>
    </xf>
    <xf numFmtId="169" fontId="5" fillId="8" borderId="28" xfId="1" applyNumberFormat="1" applyFont="1" applyFill="1" applyBorder="1" applyAlignment="1">
      <alignment horizontal="center" wrapText="1"/>
    </xf>
    <xf numFmtId="169" fontId="5" fillId="4" borderId="28" xfId="1" applyNumberFormat="1" applyFont="1" applyFill="1" applyBorder="1" applyAlignment="1">
      <alignment horizontal="center" wrapText="1"/>
    </xf>
    <xf numFmtId="164" fontId="10" fillId="0" borderId="40" xfId="0" applyNumberFormat="1" applyFont="1" applyBorder="1" applyAlignment="1">
      <alignment horizontal="center"/>
    </xf>
    <xf numFmtId="171" fontId="10" fillId="0" borderId="40" xfId="0" applyNumberFormat="1" applyFont="1" applyBorder="1" applyAlignment="1">
      <alignment horizontal="center"/>
    </xf>
    <xf numFmtId="49" fontId="6" fillId="3" borderId="40" xfId="1" applyNumberFormat="1" applyFont="1" applyFill="1" applyBorder="1" applyAlignment="1">
      <alignment horizontal="center" vertical="top" wrapText="1"/>
    </xf>
    <xf numFmtId="2" fontId="5" fillId="8" borderId="1" xfId="1" applyNumberFormat="1" applyFont="1" applyFill="1" applyBorder="1" applyAlignment="1">
      <alignment horizontal="center" vertical="top" wrapText="1"/>
    </xf>
    <xf numFmtId="2" fontId="5" fillId="73" borderId="1" xfId="1" applyNumberFormat="1" applyFont="1" applyFill="1" applyBorder="1" applyAlignment="1">
      <alignment horizontal="center" wrapText="1"/>
    </xf>
    <xf numFmtId="169" fontId="5" fillId="8" borderId="1" xfId="1" applyNumberFormat="1" applyFont="1" applyFill="1" applyBorder="1" applyAlignment="1">
      <alignment horizontal="center" vertical="top" wrapText="1"/>
    </xf>
    <xf numFmtId="169" fontId="5" fillId="73" borderId="1" xfId="1" applyNumberFormat="1" applyFont="1" applyFill="1" applyBorder="1" applyAlignment="1">
      <alignment horizontal="center" wrapText="1"/>
    </xf>
    <xf numFmtId="0" fontId="6" fillId="3" borderId="40" xfId="1" applyFont="1" applyFill="1" applyBorder="1" applyAlignment="1">
      <alignment horizontal="left" vertical="top" wrapText="1"/>
    </xf>
    <xf numFmtId="49" fontId="9" fillId="0" borderId="40" xfId="1" applyNumberFormat="1" applyFont="1" applyFill="1" applyBorder="1" applyAlignment="1">
      <alignment horizontal="center" vertical="top" wrapText="1"/>
    </xf>
    <xf numFmtId="49" fontId="6" fillId="0" borderId="40" xfId="1" applyNumberFormat="1" applyFont="1" applyFill="1" applyBorder="1" applyAlignment="1">
      <alignment horizontal="center" vertical="top" wrapText="1"/>
    </xf>
    <xf numFmtId="49" fontId="5" fillId="73" borderId="40" xfId="1" applyNumberFormat="1" applyFont="1" applyFill="1" applyBorder="1" applyAlignment="1">
      <alignment horizontal="center" wrapText="1"/>
    </xf>
    <xf numFmtId="0" fontId="5" fillId="73" borderId="40" xfId="1" applyFont="1" applyFill="1" applyBorder="1" applyAlignment="1">
      <alignment wrapText="1"/>
    </xf>
    <xf numFmtId="164" fontId="5" fillId="73" borderId="40" xfId="1" applyNumberFormat="1" applyFont="1" applyFill="1" applyBorder="1" applyAlignment="1">
      <alignment horizontal="center" wrapText="1"/>
    </xf>
    <xf numFmtId="171" fontId="5" fillId="73" borderId="40" xfId="1" applyNumberFormat="1" applyFont="1" applyFill="1" applyBorder="1" applyAlignment="1">
      <alignment horizontal="center" wrapText="1"/>
    </xf>
    <xf numFmtId="0" fontId="6" fillId="3" borderId="40" xfId="0" applyFont="1" applyFill="1" applyBorder="1" applyAlignment="1">
      <alignment horizontal="center"/>
    </xf>
    <xf numFmtId="0" fontId="5" fillId="3" borderId="40" xfId="1" applyFont="1" applyFill="1" applyBorder="1" applyAlignment="1">
      <alignment horizontal="center" vertical="top" wrapText="1"/>
    </xf>
    <xf numFmtId="0" fontId="5" fillId="3" borderId="40" xfId="1" applyNumberFormat="1" applyFont="1" applyFill="1" applyBorder="1" applyAlignment="1">
      <alignment horizontal="center" vertical="top" wrapText="1"/>
    </xf>
    <xf numFmtId="0" fontId="5" fillId="3" borderId="40" xfId="1" applyFont="1" applyFill="1" applyBorder="1" applyAlignment="1">
      <alignment vertical="top" wrapText="1"/>
    </xf>
    <xf numFmtId="164" fontId="5" fillId="3" borderId="40" xfId="1" applyNumberFormat="1" applyFont="1" applyFill="1" applyBorder="1" applyAlignment="1">
      <alignment horizontal="center" wrapText="1"/>
    </xf>
    <xf numFmtId="0" fontId="5" fillId="3" borderId="40" xfId="1" applyFont="1" applyFill="1" applyBorder="1" applyAlignment="1">
      <alignment horizontal="left" vertical="top" wrapText="1"/>
    </xf>
    <xf numFmtId="0" fontId="5" fillId="8" borderId="40" xfId="1" applyFont="1" applyFill="1" applyBorder="1" applyAlignment="1">
      <alignment horizontal="center" vertical="top" wrapText="1"/>
    </xf>
    <xf numFmtId="49" fontId="5" fillId="8" borderId="40" xfId="1" applyNumberFormat="1" applyFont="1" applyFill="1" applyBorder="1" applyAlignment="1">
      <alignment horizontal="center" vertical="top" wrapText="1"/>
    </xf>
    <xf numFmtId="0" fontId="5" fillId="8" borderId="40" xfId="1" applyNumberFormat="1" applyFont="1" applyFill="1" applyBorder="1" applyAlignment="1">
      <alignment horizontal="center" vertical="top" wrapText="1"/>
    </xf>
    <xf numFmtId="0" fontId="5" fillId="8" borderId="40" xfId="1" applyFont="1" applyFill="1" applyBorder="1" applyAlignment="1">
      <alignment vertical="top" wrapText="1"/>
    </xf>
    <xf numFmtId="164" fontId="5" fillId="8" borderId="40" xfId="1" applyNumberFormat="1" applyFont="1" applyFill="1" applyBorder="1" applyAlignment="1">
      <alignment horizontal="center" vertical="top" wrapText="1"/>
    </xf>
    <xf numFmtId="49" fontId="5" fillId="7" borderId="40" xfId="1" applyNumberFormat="1" applyFont="1" applyFill="1" applyBorder="1" applyAlignment="1">
      <alignment horizontal="center" wrapText="1"/>
    </xf>
    <xf numFmtId="0" fontId="5" fillId="7" borderId="40" xfId="1" applyFont="1" applyFill="1" applyBorder="1" applyAlignment="1">
      <alignment horizontal="left" wrapText="1"/>
    </xf>
    <xf numFmtId="164" fontId="5" fillId="7" borderId="40" xfId="1" applyNumberFormat="1" applyFont="1" applyFill="1" applyBorder="1" applyAlignment="1">
      <alignment horizontal="center" wrapText="1"/>
    </xf>
    <xf numFmtId="0" fontId="5" fillId="73" borderId="40" xfId="1" applyFont="1" applyFill="1" applyBorder="1" applyAlignment="1">
      <alignment horizontal="left" wrapText="1"/>
    </xf>
    <xf numFmtId="0" fontId="6" fillId="3" borderId="40" xfId="1" applyFont="1" applyFill="1" applyBorder="1" applyAlignment="1">
      <alignment horizontal="left" wrapText="1"/>
    </xf>
    <xf numFmtId="49" fontId="10" fillId="3" borderId="40" xfId="1" applyNumberFormat="1" applyFont="1" applyFill="1" applyBorder="1" applyAlignment="1">
      <alignment horizontal="center" wrapText="1"/>
    </xf>
    <xf numFmtId="0" fontId="10" fillId="3" borderId="40" xfId="1" applyFont="1" applyFill="1" applyBorder="1" applyAlignment="1">
      <alignment wrapText="1"/>
    </xf>
    <xf numFmtId="0" fontId="11" fillId="3" borderId="40" xfId="0" applyFont="1" applyFill="1" applyBorder="1"/>
    <xf numFmtId="171" fontId="5" fillId="3" borderId="40" xfId="1" applyNumberFormat="1" applyFont="1" applyFill="1" applyBorder="1" applyAlignment="1">
      <alignment horizontal="center" wrapText="1"/>
    </xf>
    <xf numFmtId="0" fontId="11" fillId="3" borderId="0" xfId="0" applyFont="1" applyFill="1"/>
    <xf numFmtId="0" fontId="5" fillId="7" borderId="40" xfId="1" applyFont="1" applyFill="1" applyBorder="1" applyAlignment="1">
      <alignment vertical="top" wrapText="1"/>
    </xf>
    <xf numFmtId="171" fontId="5" fillId="7" borderId="40" xfId="1" applyNumberFormat="1" applyFont="1" applyFill="1" applyBorder="1" applyAlignment="1">
      <alignment horizontal="center" wrapText="1"/>
    </xf>
    <xf numFmtId="49" fontId="5" fillId="6" borderId="40" xfId="1" applyNumberFormat="1" applyFont="1" applyFill="1" applyBorder="1" applyAlignment="1">
      <alignment horizontal="center" wrapText="1"/>
    </xf>
    <xf numFmtId="0" fontId="5" fillId="6" borderId="40" xfId="1" applyFont="1" applyFill="1" applyBorder="1" applyAlignment="1">
      <alignment wrapText="1"/>
    </xf>
    <xf numFmtId="164" fontId="5" fillId="6" borderId="40" xfId="1" applyNumberFormat="1" applyFont="1" applyFill="1" applyBorder="1" applyAlignment="1">
      <alignment horizontal="center" wrapText="1"/>
    </xf>
    <xf numFmtId="171" fontId="5" fillId="6" borderId="40" xfId="1" applyNumberFormat="1" applyFont="1" applyFill="1" applyBorder="1" applyAlignment="1">
      <alignment horizontal="center" wrapText="1"/>
    </xf>
    <xf numFmtId="171" fontId="5" fillId="8" borderId="40" xfId="1" applyNumberFormat="1" applyFont="1" applyFill="1" applyBorder="1" applyAlignment="1">
      <alignment horizontal="center" vertical="top" wrapText="1"/>
    </xf>
    <xf numFmtId="164" fontId="6" fillId="0" borderId="40" xfId="1" applyNumberFormat="1" applyFont="1" applyFill="1" applyBorder="1" applyAlignment="1">
      <alignment horizontal="center" vertical="top" wrapText="1"/>
    </xf>
    <xf numFmtId="0" fontId="6" fillId="3" borderId="40" xfId="1" applyFont="1" applyFill="1" applyBorder="1" applyAlignment="1">
      <alignment horizontal="center" vertical="top" wrapText="1"/>
    </xf>
    <xf numFmtId="0" fontId="6" fillId="3" borderId="40" xfId="1" applyNumberFormat="1" applyFont="1" applyFill="1" applyBorder="1" applyAlignment="1">
      <alignment horizontal="center" vertical="top" wrapText="1"/>
    </xf>
    <xf numFmtId="0" fontId="6" fillId="3" borderId="0" xfId="664" applyFont="1" applyFill="1" applyBorder="1" applyAlignment="1" applyProtection="1"/>
    <xf numFmtId="0" fontId="6" fillId="3" borderId="0" xfId="1" applyFont="1" applyFill="1"/>
    <xf numFmtId="0" fontId="6" fillId="3" borderId="0" xfId="664" applyFont="1" applyFill="1"/>
    <xf numFmtId="0" fontId="6" fillId="3" borderId="0" xfId="664" applyFont="1" applyFill="1" applyBorder="1" applyAlignment="1" applyProtection="1">
      <alignment horizontal="right" vertical="top" wrapText="1"/>
    </xf>
    <xf numFmtId="0" fontId="6" fillId="0" borderId="0" xfId="664" applyFont="1"/>
    <xf numFmtId="0" fontId="6" fillId="0" borderId="0" xfId="1" applyFont="1"/>
    <xf numFmtId="0" fontId="70" fillId="0" borderId="0" xfId="664" applyFont="1" applyBorder="1" applyAlignment="1" applyProtection="1">
      <alignment horizontal="center" vertical="center" wrapText="1"/>
    </xf>
    <xf numFmtId="0" fontId="6" fillId="0" borderId="0" xfId="664" applyFont="1" applyBorder="1" applyAlignment="1" applyProtection="1">
      <alignment horizontal="center" vertical="center" wrapText="1"/>
    </xf>
    <xf numFmtId="49" fontId="6" fillId="0" borderId="40" xfId="664" applyNumberFormat="1" applyFont="1" applyBorder="1" applyAlignment="1" applyProtection="1">
      <alignment horizontal="center" vertical="center" wrapText="1"/>
    </xf>
    <xf numFmtId="171" fontId="6" fillId="0" borderId="40" xfId="1" applyNumberFormat="1" applyFont="1" applyFill="1" applyBorder="1" applyAlignment="1">
      <alignment horizontal="center" vertical="center" wrapText="1"/>
    </xf>
    <xf numFmtId="0" fontId="6" fillId="0" borderId="40" xfId="664" applyFont="1" applyBorder="1" applyAlignment="1">
      <alignment vertical="center"/>
    </xf>
    <xf numFmtId="49" fontId="6" fillId="0" borderId="40" xfId="664" applyNumberFormat="1" applyFont="1" applyBorder="1" applyAlignment="1" applyProtection="1">
      <alignment horizontal="left" vertical="center" wrapText="1"/>
    </xf>
    <xf numFmtId="164" fontId="6" fillId="3" borderId="40" xfId="664" applyNumberFormat="1" applyFont="1" applyFill="1" applyBorder="1" applyAlignment="1" applyProtection="1">
      <alignment horizontal="center" vertical="center" wrapText="1"/>
    </xf>
    <xf numFmtId="168" fontId="6" fillId="0" borderId="40" xfId="664" applyNumberFormat="1" applyFont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 wrapText="1"/>
    </xf>
    <xf numFmtId="164" fontId="5" fillId="3" borderId="40" xfId="664" applyNumberFormat="1" applyFont="1" applyFill="1" applyBorder="1" applyAlignment="1" applyProtection="1">
      <alignment horizontal="center" vertical="center" wrapText="1"/>
    </xf>
    <xf numFmtId="168" fontId="5" fillId="0" borderId="40" xfId="664" applyNumberFormat="1" applyFont="1" applyBorder="1" applyAlignment="1">
      <alignment horizontal="center" vertical="center"/>
    </xf>
    <xf numFmtId="170" fontId="6" fillId="0" borderId="0" xfId="664" applyNumberFormat="1" applyFont="1"/>
    <xf numFmtId="49" fontId="6" fillId="0" borderId="31" xfId="664" applyNumberFormat="1" applyFont="1" applyBorder="1" applyAlignment="1" applyProtection="1">
      <alignment horizontal="center" vertical="center" wrapText="1"/>
    </xf>
    <xf numFmtId="164" fontId="5" fillId="0" borderId="40" xfId="664" applyNumberFormat="1" applyFont="1" applyBorder="1" applyAlignment="1" applyProtection="1">
      <alignment horizontal="center" vertical="center" wrapText="1"/>
    </xf>
    <xf numFmtId="0" fontId="6" fillId="3" borderId="40" xfId="1" applyFont="1" applyFill="1" applyBorder="1" applyAlignment="1">
      <alignment vertical="center" wrapText="1"/>
    </xf>
    <xf numFmtId="49" fontId="6" fillId="0" borderId="37" xfId="664" applyNumberFormat="1" applyFont="1" applyBorder="1" applyAlignment="1" applyProtection="1">
      <alignment horizontal="center" vertical="center" wrapText="1"/>
    </xf>
    <xf numFmtId="49" fontId="6" fillId="0" borderId="31" xfId="664" applyNumberFormat="1" applyFont="1" applyBorder="1" applyAlignment="1" applyProtection="1">
      <alignment horizontal="left" vertical="center" wrapText="1"/>
    </xf>
    <xf numFmtId="164" fontId="5" fillId="3" borderId="40" xfId="664" applyNumberFormat="1" applyFont="1" applyFill="1" applyBorder="1" applyAlignment="1" applyProtection="1">
      <alignment horizontal="center"/>
    </xf>
    <xf numFmtId="170" fontId="6" fillId="0" borderId="0" xfId="1" applyNumberFormat="1" applyFont="1"/>
    <xf numFmtId="171" fontId="6" fillId="0" borderId="0" xfId="1" applyNumberFormat="1" applyFont="1"/>
    <xf numFmtId="0" fontId="79" fillId="0" borderId="0" xfId="585" applyFont="1" applyAlignment="1">
      <alignment horizontal="left"/>
    </xf>
    <xf numFmtId="0" fontId="16" fillId="0" borderId="0" xfId="585" applyFont="1" applyAlignment="1">
      <alignment horizontal="left"/>
    </xf>
    <xf numFmtId="0" fontId="71" fillId="0" borderId="0" xfId="585" applyFont="1"/>
    <xf numFmtId="0" fontId="16" fillId="0" borderId="0" xfId="585" applyFont="1" applyAlignment="1">
      <alignment horizontal="right"/>
    </xf>
    <xf numFmtId="0" fontId="71" fillId="0" borderId="3" xfId="585" applyFont="1" applyBorder="1" applyAlignment="1"/>
    <xf numFmtId="0" fontId="82" fillId="0" borderId="0" xfId="585" applyFont="1"/>
    <xf numFmtId="49" fontId="83" fillId="0" borderId="42" xfId="552" applyNumberFormat="1" applyFont="1" applyBorder="1" applyAlignment="1" applyProtection="1">
      <alignment horizontal="center" vertical="center" wrapText="1"/>
    </xf>
    <xf numFmtId="172" fontId="83" fillId="0" borderId="42" xfId="552" applyNumberFormat="1" applyFont="1" applyBorder="1" applyAlignment="1" applyProtection="1">
      <alignment horizontal="justify" vertical="center" wrapText="1"/>
    </xf>
    <xf numFmtId="164" fontId="83" fillId="0" borderId="42" xfId="552" applyNumberFormat="1" applyFont="1" applyBorder="1" applyAlignment="1" applyProtection="1">
      <alignment horizontal="center" wrapText="1"/>
    </xf>
    <xf numFmtId="171" fontId="84" fillId="0" borderId="42" xfId="552" applyNumberFormat="1" applyFont="1" applyBorder="1" applyAlignment="1" applyProtection="1">
      <alignment horizontal="center" wrapText="1"/>
    </xf>
    <xf numFmtId="49" fontId="84" fillId="0" borderId="42" xfId="552" applyNumberFormat="1" applyFont="1" applyBorder="1" applyAlignment="1" applyProtection="1">
      <alignment horizontal="center" vertical="center" wrapText="1"/>
    </xf>
    <xf numFmtId="172" fontId="84" fillId="0" borderId="42" xfId="552" applyNumberFormat="1" applyFont="1" applyBorder="1" applyAlignment="1" applyProtection="1">
      <alignment horizontal="justify" vertical="center" wrapText="1"/>
    </xf>
    <xf numFmtId="164" fontId="84" fillId="0" borderId="42" xfId="552" applyNumberFormat="1" applyFont="1" applyBorder="1" applyAlignment="1" applyProtection="1">
      <alignment horizontal="center" wrapText="1"/>
    </xf>
    <xf numFmtId="49" fontId="85" fillId="0" borderId="42" xfId="552" applyNumberFormat="1" applyFont="1" applyBorder="1" applyAlignment="1" applyProtection="1">
      <alignment horizontal="center" vertical="center" wrapText="1"/>
    </xf>
    <xf numFmtId="172" fontId="85" fillId="0" borderId="42" xfId="552" applyNumberFormat="1" applyFont="1" applyBorder="1" applyAlignment="1" applyProtection="1">
      <alignment horizontal="justify" vertical="center" wrapText="1"/>
    </xf>
    <xf numFmtId="164" fontId="85" fillId="0" borderId="42" xfId="552" applyNumberFormat="1" applyFont="1" applyBorder="1" applyAlignment="1" applyProtection="1">
      <alignment horizontal="center" wrapText="1"/>
    </xf>
    <xf numFmtId="49" fontId="86" fillId="0" borderId="40" xfId="552" applyNumberFormat="1" applyFont="1" applyBorder="1" applyAlignment="1" applyProtection="1">
      <alignment horizontal="center" vertical="center" wrapText="1"/>
    </xf>
    <xf numFmtId="172" fontId="86" fillId="0" borderId="40" xfId="552" applyNumberFormat="1" applyFont="1" applyBorder="1" applyAlignment="1" applyProtection="1">
      <alignment horizontal="justify" vertical="center" wrapText="1"/>
    </xf>
    <xf numFmtId="164" fontId="86" fillId="0" borderId="40" xfId="552" applyNumberFormat="1" applyFont="1" applyBorder="1" applyAlignment="1" applyProtection="1">
      <alignment horizontal="center" wrapText="1"/>
    </xf>
    <xf numFmtId="0" fontId="87" fillId="0" borderId="0" xfId="1" applyFont="1" applyFill="1" applyAlignment="1">
      <alignment horizontal="right"/>
    </xf>
    <xf numFmtId="0" fontId="6" fillId="0" borderId="0" xfId="1" applyFont="1" applyAlignment="1">
      <alignment horizontal="right"/>
    </xf>
    <xf numFmtId="0" fontId="4" fillId="0" borderId="0" xfId="1" applyFill="1"/>
    <xf numFmtId="0" fontId="6" fillId="0" borderId="0" xfId="1" applyFont="1" applyFill="1" applyAlignment="1">
      <alignment horizontal="right"/>
    </xf>
    <xf numFmtId="0" fontId="6" fillId="0" borderId="0" xfId="1" applyFont="1" applyFill="1" applyAlignment="1">
      <alignment horizontal="right" vertical="center"/>
    </xf>
    <xf numFmtId="0" fontId="89" fillId="0" borderId="40" xfId="1" applyFont="1" applyFill="1" applyBorder="1" applyAlignment="1">
      <alignment horizontal="center" vertical="center" wrapText="1"/>
    </xf>
    <xf numFmtId="0" fontId="87" fillId="0" borderId="22" xfId="1" applyFont="1" applyFill="1" applyBorder="1" applyAlignment="1">
      <alignment horizontal="center" vertical="center" wrapText="1"/>
    </xf>
    <xf numFmtId="0" fontId="87" fillId="0" borderId="40" xfId="1" applyFont="1" applyFill="1" applyBorder="1" applyAlignment="1">
      <alignment horizontal="justify" vertical="center" wrapText="1"/>
    </xf>
    <xf numFmtId="0" fontId="87" fillId="0" borderId="40" xfId="1" applyFont="1" applyFill="1" applyBorder="1" applyAlignment="1">
      <alignment horizontal="center" vertical="center" wrapText="1"/>
    </xf>
    <xf numFmtId="0" fontId="89" fillId="0" borderId="22" xfId="1" applyFont="1" applyFill="1" applyBorder="1" applyAlignment="1">
      <alignment horizontal="center" vertical="center" wrapText="1"/>
    </xf>
    <xf numFmtId="0" fontId="89" fillId="0" borderId="40" xfId="1" applyFont="1" applyFill="1" applyBorder="1" applyAlignment="1">
      <alignment horizontal="justify" vertical="center" wrapText="1"/>
    </xf>
    <xf numFmtId="0" fontId="90" fillId="0" borderId="0" xfId="1" applyFont="1" applyFill="1"/>
    <xf numFmtId="0" fontId="87" fillId="0" borderId="0" xfId="1" applyFont="1" applyFill="1" applyAlignment="1">
      <alignment horizontal="justify"/>
    </xf>
    <xf numFmtId="0" fontId="16" fillId="0" borderId="0" xfId="1" applyFont="1" applyFill="1"/>
    <xf numFmtId="0" fontId="16" fillId="0" borderId="40" xfId="1" applyFont="1" applyFill="1" applyBorder="1" applyAlignment="1">
      <alignment horizontal="center" vertical="center" wrapText="1"/>
    </xf>
    <xf numFmtId="0" fontId="16" fillId="0" borderId="40" xfId="1" applyFont="1" applyFill="1" applyBorder="1" applyAlignment="1">
      <alignment horizontal="justify" vertical="center" wrapText="1"/>
    </xf>
    <xf numFmtId="0" fontId="16" fillId="0" borderId="0" xfId="1" applyFont="1" applyFill="1" applyAlignment="1"/>
    <xf numFmtId="0" fontId="70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16" fillId="0" borderId="40" xfId="1" applyFont="1" applyFill="1" applyBorder="1" applyAlignment="1">
      <alignment vertical="center" wrapText="1"/>
    </xf>
    <xf numFmtId="0" fontId="16" fillId="0" borderId="0" xfId="1" applyFont="1" applyFill="1" applyAlignment="1">
      <alignment horizontal="justify"/>
    </xf>
    <xf numFmtId="0" fontId="4" fillId="0" borderId="0" xfId="1"/>
    <xf numFmtId="0" fontId="16" fillId="0" borderId="0" xfId="1" applyFont="1" applyAlignment="1"/>
    <xf numFmtId="0" fontId="16" fillId="0" borderId="0" xfId="1" applyFont="1" applyAlignment="1">
      <alignment horizontal="right"/>
    </xf>
    <xf numFmtId="0" fontId="80" fillId="0" borderId="0" xfId="1" applyFont="1" applyBorder="1" applyAlignment="1">
      <alignment horizontal="center" vertical="center" wrapText="1"/>
    </xf>
    <xf numFmtId="0" fontId="80" fillId="0" borderId="3" xfId="1" applyFont="1" applyBorder="1" applyAlignment="1">
      <alignment horizontal="center" vertical="center" wrapText="1"/>
    </xf>
    <xf numFmtId="0" fontId="91" fillId="0" borderId="0" xfId="1" applyFont="1" applyBorder="1" applyAlignment="1">
      <alignment horizontal="right" vertical="center" wrapText="1"/>
    </xf>
    <xf numFmtId="0" fontId="91" fillId="0" borderId="40" xfId="1" applyFont="1" applyBorder="1" applyAlignment="1">
      <alignment horizontal="center" vertical="center" wrapText="1"/>
    </xf>
    <xf numFmtId="0" fontId="91" fillId="0" borderId="40" xfId="1" applyFont="1" applyFill="1" applyBorder="1" applyAlignment="1">
      <alignment horizontal="center" vertical="center" wrapText="1"/>
    </xf>
    <xf numFmtId="49" fontId="91" fillId="0" borderId="40" xfId="1" applyNumberFormat="1" applyFont="1" applyBorder="1" applyAlignment="1">
      <alignment horizontal="left" vertical="center" wrapText="1"/>
    </xf>
    <xf numFmtId="0" fontId="91" fillId="0" borderId="40" xfId="1" applyFont="1" applyBorder="1" applyAlignment="1">
      <alignment horizontal="center" vertical="center"/>
    </xf>
    <xf numFmtId="164" fontId="91" fillId="3" borderId="40" xfId="1" applyNumberFormat="1" applyFont="1" applyFill="1" applyBorder="1" applyAlignment="1">
      <alignment horizontal="center" vertical="center"/>
    </xf>
    <xf numFmtId="171" fontId="91" fillId="3" borderId="40" xfId="1" applyNumberFormat="1" applyFont="1" applyFill="1" applyBorder="1" applyAlignment="1">
      <alignment horizontal="center" vertical="center"/>
    </xf>
    <xf numFmtId="0" fontId="92" fillId="0" borderId="40" xfId="0" applyFont="1" applyFill="1" applyBorder="1" applyAlignment="1">
      <alignment horizontal="center" vertical="center" wrapText="1"/>
    </xf>
    <xf numFmtId="0" fontId="91" fillId="3" borderId="40" xfId="1" applyFont="1" applyFill="1" applyBorder="1" applyAlignment="1">
      <alignment horizontal="center" vertical="center" wrapText="1"/>
    </xf>
    <xf numFmtId="0" fontId="91" fillId="3" borderId="40" xfId="1" applyFont="1" applyFill="1" applyBorder="1" applyAlignment="1">
      <alignment horizontal="left" vertical="center" wrapText="1"/>
    </xf>
    <xf numFmtId="0" fontId="91" fillId="3" borderId="40" xfId="1" applyFont="1" applyFill="1" applyBorder="1" applyAlignment="1">
      <alignment horizontal="center" vertical="center"/>
    </xf>
    <xf numFmtId="0" fontId="91" fillId="0" borderId="37" xfId="1" applyFont="1" applyBorder="1" applyAlignment="1">
      <alignment horizontal="center" vertical="center" wrapText="1"/>
    </xf>
    <xf numFmtId="0" fontId="92" fillId="0" borderId="40" xfId="0" applyFont="1" applyFill="1" applyBorder="1" applyAlignment="1">
      <alignment horizontal="center" vertical="center"/>
    </xf>
    <xf numFmtId="0" fontId="93" fillId="0" borderId="40" xfId="1" applyFont="1" applyBorder="1" applyAlignment="1">
      <alignment horizontal="center" vertical="center"/>
    </xf>
    <xf numFmtId="164" fontId="80" fillId="0" borderId="40" xfId="1" applyNumberFormat="1" applyFont="1" applyBorder="1" applyAlignment="1">
      <alignment horizontal="center" vertical="center"/>
    </xf>
    <xf numFmtId="171" fontId="80" fillId="3" borderId="40" xfId="1" applyNumberFormat="1" applyFont="1" applyFill="1" applyBorder="1" applyAlignment="1">
      <alignment horizontal="center" vertical="center"/>
    </xf>
    <xf numFmtId="0" fontId="91" fillId="0" borderId="40" xfId="1" applyFont="1" applyBorder="1"/>
    <xf numFmtId="0" fontId="16" fillId="0" borderId="0" xfId="0" applyFont="1" applyAlignment="1"/>
    <xf numFmtId="171" fontId="6" fillId="3" borderId="40" xfId="1" applyNumberFormat="1" applyFont="1" applyFill="1" applyBorder="1" applyAlignment="1">
      <alignment horizontal="center" vertical="center" wrapText="1"/>
    </xf>
    <xf numFmtId="0" fontId="6" fillId="0" borderId="40" xfId="1" applyFont="1" applyBorder="1" applyAlignment="1">
      <alignment wrapText="1"/>
    </xf>
    <xf numFmtId="49" fontId="6" fillId="3" borderId="0" xfId="1" applyNumberFormat="1" applyFont="1" applyFill="1"/>
    <xf numFmtId="0" fontId="6" fillId="3" borderId="0" xfId="1" applyFont="1" applyFill="1" applyAlignment="1">
      <alignment horizontal="center"/>
    </xf>
    <xf numFmtId="0" fontId="4" fillId="3" borderId="0" xfId="1" applyFont="1" applyFill="1"/>
    <xf numFmtId="49" fontId="68" fillId="3" borderId="0" xfId="1" applyNumberFormat="1" applyFont="1" applyFill="1" applyAlignment="1">
      <alignment horizontal="right"/>
    </xf>
    <xf numFmtId="0" fontId="16" fillId="3" borderId="0" xfId="1" applyFont="1" applyFill="1" applyAlignment="1">
      <alignment horizontal="right" vertical="top"/>
    </xf>
    <xf numFmtId="164" fontId="4" fillId="3" borderId="0" xfId="1" applyNumberFormat="1" applyFont="1" applyFill="1"/>
    <xf numFmtId="0" fontId="16" fillId="3" borderId="40" xfId="1" applyFont="1" applyFill="1" applyBorder="1" applyAlignment="1">
      <alignment horizontal="center" vertical="top"/>
    </xf>
    <xf numFmtId="49" fontId="70" fillId="3" borderId="40" xfId="1" applyNumberFormat="1" applyFont="1" applyFill="1" applyBorder="1" applyAlignment="1">
      <alignment horizontal="left" vertical="top" wrapText="1"/>
    </xf>
    <xf numFmtId="0" fontId="70" fillId="3" borderId="40" xfId="1" applyFont="1" applyFill="1" applyBorder="1" applyAlignment="1">
      <alignment horizontal="left" vertical="top" wrapText="1"/>
    </xf>
    <xf numFmtId="170" fontId="70" fillId="3" borderId="40" xfId="1" applyNumberFormat="1" applyFont="1" applyFill="1" applyBorder="1" applyAlignment="1">
      <alignment horizontal="center" vertical="center" wrapText="1"/>
    </xf>
    <xf numFmtId="168" fontId="70" fillId="3" borderId="40" xfId="1" applyNumberFormat="1" applyFont="1" applyFill="1" applyBorder="1" applyAlignment="1">
      <alignment horizontal="center" vertical="center" wrapText="1"/>
    </xf>
    <xf numFmtId="164" fontId="70" fillId="3" borderId="40" xfId="1" applyNumberFormat="1" applyFont="1" applyFill="1" applyBorder="1" applyAlignment="1">
      <alignment horizontal="center" vertical="center" wrapText="1"/>
    </xf>
    <xf numFmtId="171" fontId="4" fillId="3" borderId="0" xfId="1" applyNumberFormat="1" applyFont="1" applyFill="1"/>
    <xf numFmtId="171" fontId="70" fillId="3" borderId="40" xfId="1" applyNumberFormat="1" applyFont="1" applyFill="1" applyBorder="1" applyAlignment="1">
      <alignment horizontal="center" vertical="center" wrapText="1"/>
    </xf>
    <xf numFmtId="164" fontId="70" fillId="2" borderId="40" xfId="1" applyNumberFormat="1" applyFont="1" applyFill="1" applyBorder="1" applyAlignment="1">
      <alignment horizontal="center" vertical="center" wrapText="1"/>
    </xf>
    <xf numFmtId="168" fontId="70" fillId="2" borderId="40" xfId="1" applyNumberFormat="1" applyFont="1" applyFill="1" applyBorder="1" applyAlignment="1">
      <alignment horizontal="center" vertical="center" wrapText="1"/>
    </xf>
    <xf numFmtId="168" fontId="70" fillId="2" borderId="40" xfId="1" applyNumberFormat="1" applyFont="1" applyFill="1" applyBorder="1" applyAlignment="1">
      <alignment horizontal="center" vertical="top"/>
    </xf>
    <xf numFmtId="49" fontId="16" fillId="3" borderId="40" xfId="1" applyNumberFormat="1" applyFont="1" applyFill="1" applyBorder="1" applyAlignment="1">
      <alignment horizontal="center" vertical="center" wrapText="1"/>
    </xf>
    <xf numFmtId="0" fontId="16" fillId="3" borderId="40" xfId="1" applyFont="1" applyFill="1" applyBorder="1" applyAlignment="1">
      <alignment horizontal="left" vertical="top" wrapText="1"/>
    </xf>
    <xf numFmtId="164" fontId="16" fillId="0" borderId="40" xfId="1" applyNumberFormat="1" applyFont="1" applyFill="1" applyBorder="1" applyAlignment="1">
      <alignment horizontal="center" vertical="center" wrapText="1"/>
    </xf>
    <xf numFmtId="164" fontId="16" fillId="3" borderId="40" xfId="1" applyNumberFormat="1" applyFont="1" applyFill="1" applyBorder="1" applyAlignment="1">
      <alignment horizontal="center" vertical="center" wrapText="1"/>
    </xf>
    <xf numFmtId="168" fontId="16" fillId="3" borderId="40" xfId="1" applyNumberFormat="1" applyFont="1" applyFill="1" applyBorder="1" applyAlignment="1">
      <alignment horizontal="center" vertical="center" wrapText="1"/>
    </xf>
    <xf numFmtId="9" fontId="4" fillId="3" borderId="0" xfId="1" applyNumberFormat="1" applyFont="1" applyFill="1" applyAlignment="1">
      <alignment horizontal="center" vertical="center"/>
    </xf>
    <xf numFmtId="49" fontId="16" fillId="3" borderId="40" xfId="1" applyNumberFormat="1" applyFont="1" applyFill="1" applyBorder="1" applyAlignment="1">
      <alignment horizontal="left" vertical="top" wrapText="1"/>
    </xf>
    <xf numFmtId="9" fontId="4" fillId="3" borderId="0" xfId="1" applyNumberFormat="1" applyFont="1" applyFill="1"/>
    <xf numFmtId="49" fontId="16" fillId="3" borderId="31" xfId="1" applyNumberFormat="1" applyFont="1" applyFill="1" applyBorder="1" applyAlignment="1">
      <alignment horizontal="left" vertical="top" wrapText="1"/>
    </xf>
    <xf numFmtId="168" fontId="70" fillId="2" borderId="40" xfId="1" applyNumberFormat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  <xf numFmtId="49" fontId="4" fillId="3" borderId="0" xfId="1" applyNumberFormat="1" applyFont="1" applyFill="1"/>
    <xf numFmtId="0" fontId="4" fillId="3" borderId="0" xfId="1" applyFont="1" applyFill="1" applyAlignment="1">
      <alignment horizontal="center"/>
    </xf>
    <xf numFmtId="0" fontId="16" fillId="3" borderId="0" xfId="1" applyFont="1" applyFill="1" applyAlignment="1">
      <alignment horizontal="center" vertical="top"/>
    </xf>
    <xf numFmtId="0" fontId="4" fillId="0" borderId="0" xfId="1" applyFont="1"/>
    <xf numFmtId="0" fontId="6" fillId="3" borderId="0" xfId="1" applyFont="1" applyFill="1" applyAlignment="1">
      <alignment horizontal="right"/>
    </xf>
    <xf numFmtId="0" fontId="16" fillId="0" borderId="38" xfId="1" applyFont="1" applyBorder="1"/>
    <xf numFmtId="0" fontId="16" fillId="0" borderId="0" xfId="1" applyFont="1" applyBorder="1"/>
    <xf numFmtId="0" fontId="68" fillId="0" borderId="48" xfId="1" applyFont="1" applyBorder="1" applyAlignment="1">
      <alignment horizontal="center" vertical="center" wrapText="1"/>
    </xf>
    <xf numFmtId="14" fontId="68" fillId="3" borderId="40" xfId="1" applyNumberFormat="1" applyFont="1" applyFill="1" applyBorder="1" applyAlignment="1">
      <alignment horizontal="center" vertical="center" wrapText="1"/>
    </xf>
    <xf numFmtId="0" fontId="68" fillId="3" borderId="40" xfId="1" applyFont="1" applyFill="1" applyBorder="1" applyAlignment="1">
      <alignment horizontal="center" vertical="center" wrapText="1"/>
    </xf>
    <xf numFmtId="0" fontId="68" fillId="3" borderId="40" xfId="1" applyFont="1" applyFill="1" applyBorder="1" applyAlignment="1">
      <alignment horizontal="left" vertical="top" wrapText="1"/>
    </xf>
    <xf numFmtId="4" fontId="68" fillId="3" borderId="40" xfId="1" applyNumberFormat="1" applyFont="1" applyFill="1" applyBorder="1" applyAlignment="1">
      <alignment horizontal="center" vertical="center" wrapText="1"/>
    </xf>
    <xf numFmtId="4" fontId="68" fillId="3" borderId="53" xfId="1" applyNumberFormat="1" applyFont="1" applyFill="1" applyBorder="1" applyAlignment="1">
      <alignment horizontal="center" vertical="center" wrapText="1"/>
    </xf>
    <xf numFmtId="4" fontId="94" fillId="0" borderId="47" xfId="1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right"/>
    </xf>
    <xf numFmtId="49" fontId="6" fillId="0" borderId="0" xfId="1" applyNumberFormat="1" applyFont="1"/>
    <xf numFmtId="0" fontId="6" fillId="0" borderId="0" xfId="1" applyFont="1" applyAlignment="1">
      <alignment wrapText="1"/>
    </xf>
    <xf numFmtId="0" fontId="96" fillId="0" borderId="0" xfId="677" applyFont="1" applyBorder="1" applyAlignment="1">
      <alignment horizontal="center" wrapText="1"/>
    </xf>
    <xf numFmtId="49" fontId="96" fillId="0" borderId="0" xfId="677" applyNumberFormat="1" applyFont="1" applyBorder="1" applyAlignment="1">
      <alignment horizontal="center" wrapText="1"/>
    </xf>
    <xf numFmtId="0" fontId="16" fillId="0" borderId="0" xfId="677" applyFont="1" applyBorder="1"/>
    <xf numFmtId="0" fontId="70" fillId="0" borderId="0" xfId="677" applyFont="1" applyBorder="1" applyAlignment="1">
      <alignment horizontal="center" wrapText="1"/>
    </xf>
    <xf numFmtId="0" fontId="6" fillId="0" borderId="0" xfId="1" applyFont="1" applyBorder="1"/>
    <xf numFmtId="0" fontId="5" fillId="0" borderId="0" xfId="677" applyFont="1" applyBorder="1" applyAlignment="1">
      <alignment wrapText="1"/>
    </xf>
    <xf numFmtId="0" fontId="6" fillId="0" borderId="52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/>
    </xf>
    <xf numFmtId="0" fontId="6" fillId="0" borderId="40" xfId="1" applyFont="1" applyBorder="1" applyAlignment="1">
      <alignment horizontal="center" vertical="center"/>
    </xf>
    <xf numFmtId="4" fontId="6" fillId="0" borderId="40" xfId="1" applyNumberFormat="1" applyFont="1" applyBorder="1" applyAlignment="1">
      <alignment horizontal="center" vertical="center"/>
    </xf>
    <xf numFmtId="4" fontId="6" fillId="3" borderId="40" xfId="1" applyNumberFormat="1" applyFont="1" applyFill="1" applyBorder="1" applyAlignment="1">
      <alignment horizontal="center" vertical="center" wrapText="1"/>
    </xf>
    <xf numFmtId="4" fontId="6" fillId="3" borderId="40" xfId="677" applyNumberFormat="1" applyFont="1" applyFill="1" applyBorder="1" applyAlignment="1">
      <alignment horizontal="center" vertical="center" wrapText="1"/>
    </xf>
    <xf numFmtId="4" fontId="6" fillId="3" borderId="40" xfId="1" applyNumberFormat="1" applyFont="1" applyFill="1" applyBorder="1" applyAlignment="1">
      <alignment horizontal="center" vertical="center"/>
    </xf>
    <xf numFmtId="4" fontId="6" fillId="0" borderId="40" xfId="677" applyNumberFormat="1" applyFont="1" applyBorder="1" applyAlignment="1">
      <alignment horizontal="center" vertical="center" wrapText="1"/>
    </xf>
    <xf numFmtId="0" fontId="5" fillId="3" borderId="40" xfId="677" applyFont="1" applyFill="1" applyBorder="1" applyAlignment="1">
      <alignment horizontal="center" vertical="center" wrapText="1"/>
    </xf>
    <xf numFmtId="4" fontId="6" fillId="0" borderId="53" xfId="677" applyNumberFormat="1" applyFont="1" applyBorder="1" applyAlignment="1">
      <alignment horizontal="center" vertical="center" wrapText="1"/>
    </xf>
    <xf numFmtId="0" fontId="5" fillId="0" borderId="54" xfId="677" applyFont="1" applyBorder="1" applyAlignment="1">
      <alignment horizontal="center" wrapText="1"/>
    </xf>
    <xf numFmtId="49" fontId="5" fillId="0" borderId="54" xfId="677" applyNumberFormat="1" applyFont="1" applyBorder="1" applyAlignment="1">
      <alignment horizontal="center" wrapText="1"/>
    </xf>
    <xf numFmtId="0" fontId="16" fillId="0" borderId="54" xfId="677" applyFont="1" applyBorder="1" applyAlignment="1">
      <alignment horizontal="center"/>
    </xf>
    <xf numFmtId="0" fontId="70" fillId="0" borderId="54" xfId="677" applyFont="1" applyBorder="1" applyAlignment="1">
      <alignment horizontal="center" wrapText="1"/>
    </xf>
    <xf numFmtId="0" fontId="6" fillId="0" borderId="54" xfId="1" applyFont="1" applyBorder="1" applyAlignment="1">
      <alignment horizontal="center"/>
    </xf>
    <xf numFmtId="0" fontId="5" fillId="0" borderId="55" xfId="677" applyFont="1" applyBorder="1" applyAlignment="1">
      <alignment horizontal="center" wrapText="1"/>
    </xf>
    <xf numFmtId="0" fontId="6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4" fontId="6" fillId="0" borderId="0" xfId="1" applyNumberFormat="1" applyFont="1"/>
    <xf numFmtId="2" fontId="6" fillId="0" borderId="0" xfId="1" applyNumberFormat="1" applyFont="1" applyAlignment="1">
      <alignment horizontal="center"/>
    </xf>
    <xf numFmtId="0" fontId="4" fillId="0" borderId="0" xfId="1" applyAlignment="1">
      <alignment horizontal="center"/>
    </xf>
    <xf numFmtId="0" fontId="16" fillId="0" borderId="0" xfId="1" applyFont="1"/>
    <xf numFmtId="0" fontId="6" fillId="0" borderId="40" xfId="1" applyFont="1" applyBorder="1" applyAlignment="1">
      <alignment horizontal="center" vertical="top" wrapText="1"/>
    </xf>
    <xf numFmtId="0" fontId="97" fillId="0" borderId="40" xfId="1" applyFont="1" applyBorder="1" applyAlignment="1">
      <alignment horizontal="center" vertical="center" wrapText="1"/>
    </xf>
    <xf numFmtId="49" fontId="6" fillId="0" borderId="40" xfId="1" applyNumberFormat="1" applyFont="1" applyBorder="1" applyAlignment="1" applyProtection="1">
      <alignment horizontal="left" vertical="center" wrapText="1"/>
    </xf>
    <xf numFmtId="171" fontId="6" fillId="0" borderId="40" xfId="1" applyNumberFormat="1" applyFont="1" applyBorder="1" applyAlignment="1">
      <alignment horizontal="center" vertical="center" wrapText="1"/>
    </xf>
    <xf numFmtId="172" fontId="6" fillId="0" borderId="40" xfId="1" applyNumberFormat="1" applyFont="1" applyBorder="1" applyAlignment="1" applyProtection="1">
      <alignment horizontal="left" vertical="center" wrapText="1"/>
    </xf>
    <xf numFmtId="171" fontId="5" fillId="6" borderId="40" xfId="1" applyNumberFormat="1" applyFont="1" applyFill="1" applyBorder="1" applyAlignment="1">
      <alignment horizontal="center" vertical="center" wrapText="1"/>
    </xf>
    <xf numFmtId="0" fontId="4" fillId="3" borderId="0" xfId="1" applyFill="1"/>
    <xf numFmtId="0" fontId="16" fillId="71" borderId="0" xfId="1" applyFont="1" applyFill="1" applyAlignment="1">
      <alignment horizontal="right"/>
    </xf>
    <xf numFmtId="0" fontId="6" fillId="71" borderId="40" xfId="1" applyFont="1" applyFill="1" applyBorder="1" applyAlignment="1">
      <alignment horizontal="center" vertical="top" wrapText="1"/>
    </xf>
    <xf numFmtId="49" fontId="5" fillId="6" borderId="23" xfId="1" applyNumberFormat="1" applyFont="1" applyFill="1" applyBorder="1" applyAlignment="1">
      <alignment horizontal="center" vertical="top" wrapText="1"/>
    </xf>
    <xf numFmtId="0" fontId="5" fillId="6" borderId="40" xfId="1" applyFont="1" applyFill="1" applyBorder="1" applyAlignment="1">
      <alignment horizontal="center" vertical="top" wrapText="1"/>
    </xf>
    <xf numFmtId="168" fontId="5" fillId="6" borderId="40" xfId="1" applyNumberFormat="1" applyFont="1" applyFill="1" applyBorder="1" applyAlignment="1">
      <alignment horizontal="center" vertical="top" wrapText="1"/>
    </xf>
    <xf numFmtId="0" fontId="90" fillId="3" borderId="0" xfId="1" applyFont="1" applyFill="1"/>
    <xf numFmtId="49" fontId="5" fillId="74" borderId="23" xfId="1" applyNumberFormat="1" applyFont="1" applyFill="1" applyBorder="1" applyAlignment="1">
      <alignment horizontal="center" vertical="top" wrapText="1"/>
    </xf>
    <xf numFmtId="0" fontId="5" fillId="74" borderId="40" xfId="1" applyFont="1" applyFill="1" applyBorder="1" applyAlignment="1">
      <alignment horizontal="center" vertical="center" wrapText="1"/>
    </xf>
    <xf numFmtId="168" fontId="98" fillId="74" borderId="40" xfId="1" applyNumberFormat="1" applyFont="1" applyFill="1" applyBorder="1" applyAlignment="1">
      <alignment horizontal="center" vertical="center" wrapText="1"/>
    </xf>
    <xf numFmtId="171" fontId="5" fillId="74" borderId="40" xfId="1" applyNumberFormat="1" applyFont="1" applyFill="1" applyBorder="1" applyAlignment="1">
      <alignment horizontal="center" vertical="center" wrapText="1"/>
    </xf>
    <xf numFmtId="49" fontId="5" fillId="3" borderId="23" xfId="1" applyNumberFormat="1" applyFont="1" applyFill="1" applyBorder="1" applyAlignment="1">
      <alignment horizontal="center" vertical="top" wrapText="1"/>
    </xf>
    <xf numFmtId="0" fontId="5" fillId="3" borderId="40" xfId="1" applyFont="1" applyFill="1" applyBorder="1" applyAlignment="1">
      <alignment horizontal="center" vertical="center" wrapText="1"/>
    </xf>
    <xf numFmtId="168" fontId="98" fillId="3" borderId="40" xfId="1" applyNumberFormat="1" applyFont="1" applyFill="1" applyBorder="1" applyAlignment="1">
      <alignment horizontal="center" vertical="center" wrapText="1"/>
    </xf>
    <xf numFmtId="171" fontId="5" fillId="3" borderId="40" xfId="1" applyNumberFormat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 wrapText="1"/>
    </xf>
    <xf numFmtId="168" fontId="82" fillId="3" borderId="40" xfId="1" applyNumberFormat="1" applyFont="1" applyFill="1" applyBorder="1" applyAlignment="1">
      <alignment horizontal="center" vertical="center" wrapText="1"/>
    </xf>
    <xf numFmtId="0" fontId="82" fillId="0" borderId="40" xfId="1" applyFont="1" applyFill="1" applyBorder="1" applyAlignment="1">
      <alignment horizontal="center" vertical="center" wrapText="1"/>
    </xf>
    <xf numFmtId="49" fontId="5" fillId="6" borderId="40" xfId="1" applyNumberFormat="1" applyFont="1" applyFill="1" applyBorder="1" applyAlignment="1">
      <alignment horizontal="center" vertical="center" wrapText="1"/>
    </xf>
    <xf numFmtId="168" fontId="98" fillId="6" borderId="40" xfId="1" applyNumberFormat="1" applyFont="1" applyFill="1" applyBorder="1" applyAlignment="1">
      <alignment horizontal="center" vertical="center" wrapText="1"/>
    </xf>
    <xf numFmtId="49" fontId="5" fillId="74" borderId="40" xfId="1" applyNumberFormat="1" applyFont="1" applyFill="1" applyBorder="1" applyAlignment="1">
      <alignment horizontal="center" vertical="center" wrapText="1"/>
    </xf>
    <xf numFmtId="0" fontId="99" fillId="74" borderId="40" xfId="1" applyFont="1" applyFill="1" applyBorder="1" applyAlignment="1">
      <alignment horizontal="center" vertical="center" wrapText="1"/>
    </xf>
    <xf numFmtId="49" fontId="5" fillId="3" borderId="40" xfId="1" applyNumberFormat="1" applyFont="1" applyFill="1" applyBorder="1" applyAlignment="1">
      <alignment horizontal="center" vertical="center" wrapText="1"/>
    </xf>
    <xf numFmtId="0" fontId="99" fillId="3" borderId="0" xfId="1" applyFont="1" applyFill="1" applyAlignment="1">
      <alignment horizontal="center" vertical="center" wrapText="1"/>
    </xf>
    <xf numFmtId="49" fontId="5" fillId="0" borderId="40" xfId="1" applyNumberFormat="1" applyFont="1" applyFill="1" applyBorder="1" applyAlignment="1">
      <alignment vertical="center" wrapText="1"/>
    </xf>
    <xf numFmtId="49" fontId="5" fillId="6" borderId="40" xfId="1" applyNumberFormat="1" applyFont="1" applyFill="1" applyBorder="1" applyAlignment="1">
      <alignment vertical="center" wrapText="1"/>
    </xf>
    <xf numFmtId="2" fontId="5" fillId="6" borderId="40" xfId="1" applyNumberFormat="1" applyFont="1" applyFill="1" applyBorder="1" applyAlignment="1">
      <alignment horizontal="center" vertical="center" wrapText="1"/>
    </xf>
    <xf numFmtId="168" fontId="5" fillId="6" borderId="40" xfId="1" applyNumberFormat="1" applyFont="1" applyFill="1" applyBorder="1" applyAlignment="1">
      <alignment horizontal="center" vertical="center" wrapText="1"/>
    </xf>
    <xf numFmtId="171" fontId="4" fillId="3" borderId="0" xfId="1" applyNumberFormat="1" applyFill="1"/>
    <xf numFmtId="0" fontId="98" fillId="71" borderId="40" xfId="1" applyFont="1" applyFill="1" applyBorder="1" applyAlignment="1">
      <alignment horizontal="center" vertical="center" wrapText="1"/>
    </xf>
    <xf numFmtId="168" fontId="5" fillId="3" borderId="40" xfId="1" applyNumberFormat="1" applyFont="1" applyFill="1" applyBorder="1" applyAlignment="1">
      <alignment horizontal="center" vertical="center"/>
    </xf>
    <xf numFmtId="171" fontId="5" fillId="71" borderId="40" xfId="1" applyNumberFormat="1" applyFont="1" applyFill="1" applyBorder="1" applyAlignment="1">
      <alignment horizontal="center" vertical="center"/>
    </xf>
    <xf numFmtId="0" fontId="5" fillId="71" borderId="40" xfId="1" applyFont="1" applyFill="1" applyBorder="1" applyAlignment="1">
      <alignment horizontal="center" vertical="center" wrapText="1"/>
    </xf>
    <xf numFmtId="168" fontId="5" fillId="71" borderId="40" xfId="1" applyNumberFormat="1" applyFont="1" applyFill="1" applyBorder="1" applyAlignment="1">
      <alignment horizontal="center" vertical="center"/>
    </xf>
    <xf numFmtId="171" fontId="5" fillId="2" borderId="1" xfId="0" applyNumberFormat="1" applyFont="1" applyFill="1" applyBorder="1"/>
    <xf numFmtId="171" fontId="5" fillId="8" borderId="1" xfId="0" applyNumberFormat="1" applyFont="1" applyFill="1" applyBorder="1"/>
    <xf numFmtId="171" fontId="5" fillId="7" borderId="1" xfId="0" applyNumberFormat="1" applyFont="1" applyFill="1" applyBorder="1"/>
    <xf numFmtId="171" fontId="5" fillId="73" borderId="1" xfId="0" applyNumberFormat="1" applyFont="1" applyFill="1" applyBorder="1"/>
    <xf numFmtId="171" fontId="6" fillId="3" borderId="1" xfId="0" applyNumberFormat="1" applyFont="1" applyFill="1" applyBorder="1"/>
    <xf numFmtId="171" fontId="6" fillId="0" borderId="1" xfId="0" applyNumberFormat="1" applyFont="1" applyBorder="1"/>
    <xf numFmtId="171" fontId="6" fillId="3" borderId="36" xfId="0" applyNumberFormat="1" applyFont="1" applyFill="1" applyBorder="1"/>
    <xf numFmtId="171" fontId="10" fillId="3" borderId="1" xfId="0" applyNumberFormat="1" applyFont="1" applyFill="1" applyBorder="1"/>
    <xf numFmtId="171" fontId="6" fillId="0" borderId="1" xfId="0" applyNumberFormat="1" applyFont="1" applyFill="1" applyBorder="1"/>
    <xf numFmtId="171" fontId="5" fillId="7" borderId="1" xfId="1" applyNumberFormat="1" applyFont="1" applyFill="1" applyBorder="1" applyAlignment="1">
      <alignment wrapText="1"/>
    </xf>
    <xf numFmtId="171" fontId="5" fillId="73" borderId="1" xfId="1" applyNumberFormat="1" applyFont="1" applyFill="1" applyBorder="1" applyAlignment="1">
      <alignment wrapText="1"/>
    </xf>
    <xf numFmtId="171" fontId="6" fillId="3" borderId="33" xfId="0" applyNumberFormat="1" applyFont="1" applyFill="1" applyBorder="1"/>
    <xf numFmtId="171" fontId="6" fillId="0" borderId="33" xfId="0" applyNumberFormat="1" applyFont="1" applyFill="1" applyBorder="1"/>
    <xf numFmtId="171" fontId="5" fillId="73" borderId="33" xfId="1" applyNumberFormat="1" applyFont="1" applyFill="1" applyBorder="1" applyAlignment="1">
      <alignment horizontal="right" wrapText="1"/>
    </xf>
    <xf numFmtId="171" fontId="6" fillId="0" borderId="33" xfId="1" applyNumberFormat="1" applyFont="1" applyFill="1" applyBorder="1" applyAlignment="1">
      <alignment horizontal="right" wrapText="1"/>
    </xf>
    <xf numFmtId="171" fontId="6" fillId="3" borderId="1" xfId="0" applyNumberFormat="1" applyFont="1" applyFill="1" applyBorder="1" applyAlignment="1">
      <alignment horizontal="right"/>
    </xf>
    <xf numFmtId="171" fontId="6" fillId="3" borderId="1" xfId="1" applyNumberFormat="1" applyFont="1" applyFill="1" applyBorder="1" applyAlignment="1">
      <alignment horizontal="right" wrapText="1"/>
    </xf>
    <xf numFmtId="171" fontId="6" fillId="3" borderId="36" xfId="1" applyNumberFormat="1" applyFont="1" applyFill="1" applyBorder="1" applyAlignment="1">
      <alignment horizontal="right" wrapText="1"/>
    </xf>
    <xf numFmtId="171" fontId="5" fillId="4" borderId="1" xfId="0" applyNumberFormat="1" applyFont="1" applyFill="1" applyBorder="1"/>
    <xf numFmtId="171" fontId="6" fillId="3" borderId="28" xfId="0" applyNumberFormat="1" applyFont="1" applyFill="1" applyBorder="1"/>
    <xf numFmtId="171" fontId="6" fillId="3" borderId="30" xfId="0" applyNumberFormat="1" applyFont="1" applyFill="1" applyBorder="1"/>
    <xf numFmtId="173" fontId="6" fillId="3" borderId="1" xfId="0" applyNumberFormat="1" applyFont="1" applyFill="1" applyBorder="1"/>
    <xf numFmtId="164" fontId="6" fillId="3" borderId="40" xfId="0" applyNumberFormat="1" applyFont="1" applyFill="1" applyBorder="1"/>
    <xf numFmtId="171" fontId="6" fillId="3" borderId="40" xfId="0" applyNumberFormat="1" applyFont="1" applyFill="1" applyBorder="1"/>
    <xf numFmtId="164" fontId="5" fillId="3" borderId="40" xfId="0" applyNumberFormat="1" applyFont="1" applyFill="1" applyBorder="1"/>
    <xf numFmtId="171" fontId="5" fillId="3" borderId="40" xfId="0" applyNumberFormat="1" applyFont="1" applyFill="1" applyBorder="1"/>
    <xf numFmtId="164" fontId="6" fillId="3" borderId="40" xfId="1" applyNumberFormat="1" applyFont="1" applyFill="1" applyBorder="1" applyAlignment="1">
      <alignment horizontal="right" wrapText="1"/>
    </xf>
    <xf numFmtId="171" fontId="6" fillId="3" borderId="40" xfId="1" applyNumberFormat="1" applyFont="1" applyFill="1" applyBorder="1" applyAlignment="1">
      <alignment horizontal="right" wrapText="1"/>
    </xf>
    <xf numFmtId="164" fontId="10" fillId="0" borderId="40" xfId="0" applyNumberFormat="1" applyFont="1" applyBorder="1" applyAlignment="1">
      <alignment horizontal="right"/>
    </xf>
    <xf numFmtId="171" fontId="10" fillId="0" borderId="1" xfId="0" applyNumberFormat="1" applyFont="1" applyBorder="1" applyAlignment="1">
      <alignment horizontal="right"/>
    </xf>
    <xf numFmtId="164" fontId="6" fillId="0" borderId="40" xfId="1" applyNumberFormat="1" applyFont="1" applyFill="1" applyBorder="1" applyAlignment="1">
      <alignment horizontal="right" vertical="top" wrapText="1"/>
    </xf>
    <xf numFmtId="171" fontId="6" fillId="0" borderId="1" xfId="1" applyNumberFormat="1" applyFont="1" applyFill="1" applyBorder="1" applyAlignment="1">
      <alignment horizontal="right" vertical="top" wrapText="1"/>
    </xf>
    <xf numFmtId="164" fontId="6" fillId="0" borderId="1" xfId="1" applyNumberFormat="1" applyFont="1" applyFill="1" applyBorder="1" applyAlignment="1">
      <alignment horizontal="right" wrapText="1"/>
    </xf>
    <xf numFmtId="171" fontId="6" fillId="0" borderId="1" xfId="1" applyNumberFormat="1" applyFont="1" applyFill="1" applyBorder="1" applyAlignment="1">
      <alignment horizontal="right" wrapText="1"/>
    </xf>
    <xf numFmtId="164" fontId="6" fillId="3" borderId="40" xfId="0" applyNumberFormat="1" applyFont="1" applyFill="1" applyBorder="1" applyAlignment="1">
      <alignment horizontal="right"/>
    </xf>
    <xf numFmtId="171" fontId="6" fillId="3" borderId="33" xfId="0" applyNumberFormat="1" applyFont="1" applyFill="1" applyBorder="1" applyAlignment="1">
      <alignment horizontal="right"/>
    </xf>
    <xf numFmtId="14" fontId="68" fillId="0" borderId="40" xfId="1" applyNumberFormat="1" applyFont="1" applyBorder="1" applyAlignment="1">
      <alignment horizontal="center" vertical="top" wrapText="1"/>
    </xf>
    <xf numFmtId="0" fontId="68" fillId="0" borderId="40" xfId="1" applyFont="1" applyBorder="1" applyAlignment="1">
      <alignment horizontal="center" vertical="top" wrapText="1"/>
    </xf>
    <xf numFmtId="4" fontId="68" fillId="0" borderId="40" xfId="1" applyNumberFormat="1" applyFont="1" applyBorder="1" applyAlignment="1">
      <alignment horizontal="center" vertical="top" wrapText="1"/>
    </xf>
    <xf numFmtId="4" fontId="68" fillId="0" borderId="37" xfId="1" applyNumberFormat="1" applyFont="1" applyBorder="1" applyAlignment="1">
      <alignment horizontal="center" vertical="top" wrapText="1"/>
    </xf>
    <xf numFmtId="0" fontId="16" fillId="0" borderId="0" xfId="585" applyFont="1" applyAlignment="1">
      <alignment horizontal="right"/>
    </xf>
    <xf numFmtId="0" fontId="15" fillId="0" borderId="0" xfId="0" applyFont="1" applyAlignment="1">
      <alignment horizontal="right"/>
    </xf>
    <xf numFmtId="14" fontId="68" fillId="3" borderId="72" xfId="1" applyNumberFormat="1" applyFont="1" applyFill="1" applyBorder="1" applyAlignment="1">
      <alignment horizontal="center" vertical="center" wrapText="1"/>
    </xf>
    <xf numFmtId="0" fontId="68" fillId="3" borderId="72" xfId="1" applyFont="1" applyFill="1" applyBorder="1" applyAlignment="1">
      <alignment horizontal="center" vertical="center" wrapText="1"/>
    </xf>
    <xf numFmtId="4" fontId="68" fillId="3" borderId="72" xfId="1" applyNumberFormat="1" applyFont="1" applyFill="1" applyBorder="1" applyAlignment="1">
      <alignment horizontal="center" vertical="center" wrapText="1"/>
    </xf>
    <xf numFmtId="164" fontId="70" fillId="0" borderId="72" xfId="0" applyNumberFormat="1" applyFont="1" applyBorder="1" applyAlignment="1">
      <alignment horizontal="right" vertical="center" wrapText="1"/>
    </xf>
    <xf numFmtId="164" fontId="73" fillId="0" borderId="72" xfId="0" applyNumberFormat="1" applyFont="1" applyBorder="1" applyAlignment="1">
      <alignment horizontal="right" vertical="center" wrapText="1"/>
    </xf>
    <xf numFmtId="164" fontId="70" fillId="73" borderId="72" xfId="0" applyNumberFormat="1" applyFont="1" applyFill="1" applyBorder="1" applyAlignment="1">
      <alignment horizontal="center" vertical="center" wrapText="1"/>
    </xf>
    <xf numFmtId="164" fontId="70" fillId="72" borderId="72" xfId="0" applyNumberFormat="1" applyFont="1" applyFill="1" applyBorder="1" applyAlignment="1">
      <alignment horizontal="center" vertical="center" wrapText="1"/>
    </xf>
    <xf numFmtId="164" fontId="16" fillId="5" borderId="72" xfId="0" applyNumberFormat="1" applyFont="1" applyFill="1" applyBorder="1" applyAlignment="1">
      <alignment horizontal="center" vertical="center" wrapText="1"/>
    </xf>
    <xf numFmtId="164" fontId="16" fillId="3" borderId="72" xfId="0" applyNumberFormat="1" applyFont="1" applyFill="1" applyBorder="1" applyAlignment="1">
      <alignment horizontal="center" vertical="center" wrapText="1"/>
    </xf>
    <xf numFmtId="164" fontId="70" fillId="3" borderId="72" xfId="0" applyNumberFormat="1" applyFont="1" applyFill="1" applyBorder="1" applyAlignment="1">
      <alignment horizontal="center" vertical="center" wrapText="1"/>
    </xf>
    <xf numFmtId="164" fontId="70" fillId="5" borderId="72" xfId="0" applyNumberFormat="1" applyFont="1" applyFill="1" applyBorder="1" applyAlignment="1">
      <alignment horizontal="center" vertical="center" wrapText="1"/>
    </xf>
    <xf numFmtId="164" fontId="16" fillId="0" borderId="72" xfId="0" applyNumberFormat="1" applyFont="1" applyBorder="1" applyAlignment="1">
      <alignment horizontal="center" vertical="center" wrapText="1"/>
    </xf>
    <xf numFmtId="0" fontId="77" fillId="3" borderId="1" xfId="0" applyFont="1" applyFill="1" applyBorder="1" applyAlignment="1">
      <alignment horizontal="left" vertical="justify"/>
    </xf>
    <xf numFmtId="164" fontId="77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77" fillId="3" borderId="36" xfId="0" applyFont="1" applyFill="1" applyBorder="1" applyAlignment="1">
      <alignment wrapText="1"/>
    </xf>
    <xf numFmtId="0" fontId="73" fillId="0" borderId="0" xfId="0" applyFont="1" applyBorder="1" applyAlignment="1">
      <alignment vertical="center" wrapText="1"/>
    </xf>
    <xf numFmtId="0" fontId="95" fillId="0" borderId="0" xfId="0" applyFont="1" applyBorder="1" applyAlignment="1">
      <alignment horizontal="center" vertical="center" wrapText="1"/>
    </xf>
    <xf numFmtId="164" fontId="73" fillId="0" borderId="0" xfId="0" applyNumberFormat="1" applyFont="1" applyBorder="1" applyAlignment="1">
      <alignment vertical="center" wrapText="1"/>
    </xf>
    <xf numFmtId="164" fontId="6" fillId="3" borderId="40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 applyProtection="1">
      <alignment horizontal="center" vertical="center" wrapText="1"/>
    </xf>
    <xf numFmtId="164" fontId="6" fillId="3" borderId="30" xfId="0" applyNumberFormat="1" applyFont="1" applyFill="1" applyBorder="1" applyAlignment="1">
      <alignment horizontal="center" vertical="center"/>
    </xf>
    <xf numFmtId="49" fontId="6" fillId="3" borderId="72" xfId="1" applyNumberFormat="1" applyFont="1" applyFill="1" applyBorder="1" applyAlignment="1">
      <alignment horizontal="center" wrapText="1"/>
    </xf>
    <xf numFmtId="0" fontId="6" fillId="3" borderId="72" xfId="1" applyFont="1" applyFill="1" applyBorder="1" applyAlignment="1">
      <alignment wrapText="1"/>
    </xf>
    <xf numFmtId="0" fontId="6" fillId="3" borderId="72" xfId="0" applyFont="1" applyFill="1" applyBorder="1" applyAlignment="1">
      <alignment horizontal="center"/>
    </xf>
    <xf numFmtId="49" fontId="5" fillId="73" borderId="72" xfId="1" applyNumberFormat="1" applyFont="1" applyFill="1" applyBorder="1" applyAlignment="1">
      <alignment horizontal="center" wrapText="1"/>
    </xf>
    <xf numFmtId="49" fontId="6" fillId="73" borderId="72" xfId="1" applyNumberFormat="1" applyFont="1" applyFill="1" applyBorder="1" applyAlignment="1">
      <alignment horizontal="center" wrapText="1"/>
    </xf>
    <xf numFmtId="0" fontId="5" fillId="73" borderId="72" xfId="1" applyFont="1" applyFill="1" applyBorder="1" applyAlignment="1">
      <alignment wrapText="1"/>
    </xf>
    <xf numFmtId="0" fontId="6" fillId="3" borderId="72" xfId="0" applyFont="1" applyFill="1" applyBorder="1" applyAlignment="1">
      <alignment wrapText="1"/>
    </xf>
    <xf numFmtId="173" fontId="4" fillId="3" borderId="0" xfId="1" applyNumberFormat="1" applyFill="1"/>
    <xf numFmtId="164" fontId="14" fillId="6" borderId="40" xfId="1" applyNumberFormat="1" applyFont="1" applyFill="1" applyBorder="1" applyAlignment="1">
      <alignment horizontal="center" vertical="center"/>
    </xf>
    <xf numFmtId="164" fontId="5" fillId="6" borderId="40" xfId="1" applyNumberFormat="1" applyFont="1" applyFill="1" applyBorder="1" applyAlignment="1">
      <alignment horizontal="center" vertical="center" wrapText="1"/>
    </xf>
    <xf numFmtId="164" fontId="5" fillId="74" borderId="40" xfId="1" applyNumberFormat="1" applyFont="1" applyFill="1" applyBorder="1" applyAlignment="1">
      <alignment horizontal="center" vertical="center" wrapText="1"/>
    </xf>
    <xf numFmtId="164" fontId="5" fillId="3" borderId="40" xfId="1" applyNumberFormat="1" applyFont="1" applyFill="1" applyBorder="1" applyAlignment="1">
      <alignment horizontal="center" vertical="center" wrapText="1"/>
    </xf>
    <xf numFmtId="164" fontId="5" fillId="3" borderId="40" xfId="1" applyNumberFormat="1" applyFont="1" applyFill="1" applyBorder="1" applyAlignment="1">
      <alignment horizontal="center" vertical="center"/>
    </xf>
    <xf numFmtId="164" fontId="5" fillId="71" borderId="40" xfId="1" applyNumberFormat="1" applyFont="1" applyFill="1" applyBorder="1" applyAlignment="1">
      <alignment horizontal="center" vertical="center"/>
    </xf>
    <xf numFmtId="168" fontId="4" fillId="3" borderId="0" xfId="1" applyNumberFormat="1" applyFont="1" applyFill="1"/>
    <xf numFmtId="170" fontId="6" fillId="3" borderId="40" xfId="1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70" fontId="70" fillId="2" borderId="79" xfId="1" applyNumberFormat="1" applyFont="1" applyFill="1" applyBorder="1" applyAlignment="1">
      <alignment horizontal="center" vertical="center" wrapText="1"/>
    </xf>
    <xf numFmtId="170" fontId="16" fillId="3" borderId="79" xfId="1" applyNumberFormat="1" applyFont="1" applyFill="1" applyBorder="1" applyAlignment="1">
      <alignment horizontal="center" vertical="center" wrapText="1"/>
    </xf>
    <xf numFmtId="170" fontId="16" fillId="0" borderId="79" xfId="1" applyNumberFormat="1" applyFont="1" applyFill="1" applyBorder="1" applyAlignment="1">
      <alignment horizontal="center" vertical="center" wrapText="1"/>
    </xf>
    <xf numFmtId="164" fontId="16" fillId="0" borderId="79" xfId="1" applyNumberFormat="1" applyFont="1" applyFill="1" applyBorder="1" applyAlignment="1">
      <alignment horizontal="center" vertical="center" wrapText="1"/>
    </xf>
    <xf numFmtId="164" fontId="16" fillId="3" borderId="79" xfId="1" applyNumberFormat="1" applyFont="1" applyFill="1" applyBorder="1" applyAlignment="1">
      <alignment horizontal="center" vertical="center" wrapText="1"/>
    </xf>
    <xf numFmtId="0" fontId="100" fillId="0" borderId="0" xfId="388" applyNumberFormat="1" applyFont="1" applyFill="1" applyBorder="1" applyAlignment="1">
      <alignment horizontal="right" vertical="center"/>
    </xf>
    <xf numFmtId="0" fontId="101" fillId="0" borderId="0" xfId="388" applyNumberFormat="1" applyFont="1" applyFill="1" applyBorder="1" applyAlignment="1">
      <alignment horizontal="right" vertical="center"/>
    </xf>
    <xf numFmtId="0" fontId="101" fillId="0" borderId="0" xfId="388" applyFont="1" applyAlignment="1">
      <alignment horizontal="right"/>
    </xf>
    <xf numFmtId="0" fontId="102" fillId="0" borderId="0" xfId="388" applyNumberFormat="1" applyFont="1" applyFill="1" applyBorder="1" applyAlignment="1">
      <alignment vertical="center" wrapText="1"/>
    </xf>
    <xf numFmtId="0" fontId="59" fillId="0" borderId="0" xfId="388"/>
    <xf numFmtId="172" fontId="103" fillId="0" borderId="0" xfId="388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2" fontId="103" fillId="0" borderId="0" xfId="388" applyNumberFormat="1" applyFont="1" applyFill="1" applyBorder="1" applyAlignment="1">
      <alignment horizontal="right" vertical="center" wrapText="1"/>
    </xf>
    <xf numFmtId="0" fontId="101" fillId="0" borderId="0" xfId="388" applyFont="1" applyBorder="1" applyAlignment="1">
      <alignment horizontal="center" vertical="center"/>
    </xf>
    <xf numFmtId="0" fontId="101" fillId="0" borderId="0" xfId="388" applyFont="1" applyBorder="1" applyAlignment="1">
      <alignment horizontal="center" vertical="center" wrapText="1"/>
    </xf>
    <xf numFmtId="0" fontId="107" fillId="0" borderId="22" xfId="388" applyFont="1" applyBorder="1" applyAlignment="1">
      <alignment horizontal="center" vertical="center"/>
    </xf>
    <xf numFmtId="0" fontId="107" fillId="0" borderId="81" xfId="388" applyFont="1" applyBorder="1" applyAlignment="1">
      <alignment horizontal="center" vertical="center"/>
    </xf>
    <xf numFmtId="0" fontId="107" fillId="0" borderId="0" xfId="388" applyFont="1" applyBorder="1" applyAlignment="1">
      <alignment horizontal="center"/>
    </xf>
    <xf numFmtId="49" fontId="80" fillId="2" borderId="79" xfId="388" applyNumberFormat="1" applyFont="1" applyFill="1" applyBorder="1" applyAlignment="1">
      <alignment horizontal="center" vertical="center" wrapText="1"/>
    </xf>
    <xf numFmtId="170" fontId="102" fillId="2" borderId="79" xfId="388" applyNumberFormat="1" applyFont="1" applyFill="1" applyBorder="1" applyAlignment="1">
      <alignment horizontal="center" vertical="center" wrapText="1"/>
    </xf>
    <xf numFmtId="170" fontId="102" fillId="2" borderId="53" xfId="388" applyNumberFormat="1" applyFont="1" applyFill="1" applyBorder="1" applyAlignment="1">
      <alignment horizontal="center" vertical="center" wrapText="1"/>
    </xf>
    <xf numFmtId="174" fontId="102" fillId="2" borderId="82" xfId="388" applyNumberFormat="1" applyFont="1" applyFill="1" applyBorder="1" applyAlignment="1">
      <alignment horizontal="center" vertical="center" wrapText="1"/>
    </xf>
    <xf numFmtId="171" fontId="102" fillId="2" borderId="0" xfId="388" applyNumberFormat="1" applyFont="1" applyFill="1" applyBorder="1" applyAlignment="1">
      <alignment horizontal="right" wrapText="1"/>
    </xf>
    <xf numFmtId="170" fontId="85" fillId="74" borderId="72" xfId="388" applyNumberFormat="1" applyFont="1" applyFill="1" applyBorder="1" applyAlignment="1">
      <alignment horizontal="center" vertical="center" wrapText="1"/>
    </xf>
    <xf numFmtId="170" fontId="85" fillId="74" borderId="53" xfId="388" applyNumberFormat="1" applyFont="1" applyFill="1" applyBorder="1" applyAlignment="1">
      <alignment horizontal="center" vertical="center" wrapText="1"/>
    </xf>
    <xf numFmtId="174" fontId="85" fillId="74" borderId="82" xfId="388" applyNumberFormat="1" applyFont="1" applyFill="1" applyBorder="1" applyAlignment="1">
      <alignment horizontal="center" vertical="center" wrapText="1"/>
    </xf>
    <xf numFmtId="171" fontId="85" fillId="74" borderId="0" xfId="388" applyNumberFormat="1" applyFont="1" applyFill="1" applyBorder="1" applyAlignment="1">
      <alignment horizontal="right" wrapText="1"/>
    </xf>
    <xf numFmtId="170" fontId="102" fillId="0" borderId="72" xfId="388" applyNumberFormat="1" applyFont="1" applyFill="1" applyBorder="1" applyAlignment="1">
      <alignment horizontal="center" vertical="center" wrapText="1"/>
    </xf>
    <xf numFmtId="174" fontId="102" fillId="0" borderId="82" xfId="388" applyNumberFormat="1" applyFont="1" applyFill="1" applyBorder="1" applyAlignment="1">
      <alignment horizontal="center" vertical="center" wrapText="1"/>
    </xf>
    <xf numFmtId="171" fontId="102" fillId="0" borderId="0" xfId="388" applyNumberFormat="1" applyFont="1" applyFill="1" applyBorder="1" applyAlignment="1">
      <alignment horizontal="right" wrapText="1"/>
    </xf>
    <xf numFmtId="170" fontId="108" fillId="0" borderId="72" xfId="388" applyNumberFormat="1" applyFont="1" applyFill="1" applyBorder="1" applyAlignment="1">
      <alignment horizontal="center" vertical="center" wrapText="1"/>
    </xf>
    <xf numFmtId="174" fontId="108" fillId="0" borderId="82" xfId="388" applyNumberFormat="1" applyFont="1" applyFill="1" applyBorder="1" applyAlignment="1">
      <alignment horizontal="center" vertical="center" wrapText="1"/>
    </xf>
    <xf numFmtId="171" fontId="85" fillId="0" borderId="0" xfId="388" applyNumberFormat="1" applyFont="1" applyFill="1" applyBorder="1" applyAlignment="1">
      <alignment horizontal="right" wrapText="1"/>
    </xf>
    <xf numFmtId="170" fontId="85" fillId="0" borderId="72" xfId="388" applyNumberFormat="1" applyFont="1" applyFill="1" applyBorder="1" applyAlignment="1">
      <alignment horizontal="center" vertical="center" wrapText="1"/>
    </xf>
    <xf numFmtId="174" fontId="85" fillId="0" borderId="82" xfId="388" applyNumberFormat="1" applyFont="1" applyFill="1" applyBorder="1" applyAlignment="1">
      <alignment horizontal="center" vertical="center" wrapText="1"/>
    </xf>
    <xf numFmtId="170" fontId="80" fillId="0" borderId="72" xfId="388" applyNumberFormat="1" applyFont="1" applyFill="1" applyBorder="1" applyAlignment="1">
      <alignment horizontal="center" vertical="center" wrapText="1"/>
    </xf>
    <xf numFmtId="174" fontId="80" fillId="0" borderId="53" xfId="388" applyNumberFormat="1" applyFont="1" applyFill="1" applyBorder="1" applyAlignment="1">
      <alignment horizontal="center" vertical="center" wrapText="1"/>
    </xf>
    <xf numFmtId="174" fontId="108" fillId="0" borderId="53" xfId="388" applyNumberFormat="1" applyFont="1" applyFill="1" applyBorder="1" applyAlignment="1">
      <alignment horizontal="center" vertical="center" wrapText="1"/>
    </xf>
    <xf numFmtId="170" fontId="91" fillId="0" borderId="72" xfId="388" applyNumberFormat="1" applyFont="1" applyFill="1" applyBorder="1" applyAlignment="1">
      <alignment horizontal="center" vertical="center" wrapText="1"/>
    </xf>
    <xf numFmtId="174" fontId="91" fillId="0" borderId="53" xfId="388" applyNumberFormat="1" applyFont="1" applyFill="1" applyBorder="1" applyAlignment="1">
      <alignment horizontal="center" vertical="center" wrapText="1"/>
    </xf>
    <xf numFmtId="170" fontId="84" fillId="0" borderId="72" xfId="388" applyNumberFormat="1" applyFont="1" applyFill="1" applyBorder="1" applyAlignment="1">
      <alignment horizontal="center" vertical="center" wrapText="1"/>
    </xf>
    <xf numFmtId="171" fontId="91" fillId="0" borderId="0" xfId="388" applyNumberFormat="1" applyFont="1" applyFill="1" applyBorder="1" applyAlignment="1">
      <alignment horizontal="right" wrapText="1"/>
    </xf>
    <xf numFmtId="174" fontId="91" fillId="0" borderId="82" xfId="388" applyNumberFormat="1" applyFont="1" applyFill="1" applyBorder="1" applyAlignment="1">
      <alignment horizontal="center" vertical="center" wrapText="1"/>
    </xf>
    <xf numFmtId="174" fontId="80" fillId="0" borderId="82" xfId="388" applyNumberFormat="1" applyFont="1" applyFill="1" applyBorder="1" applyAlignment="1">
      <alignment horizontal="center" vertical="center" wrapText="1"/>
    </xf>
    <xf numFmtId="170" fontId="91" fillId="3" borderId="72" xfId="388" applyNumberFormat="1" applyFont="1" applyFill="1" applyBorder="1" applyAlignment="1">
      <alignment horizontal="center" vertical="center" wrapText="1"/>
    </xf>
    <xf numFmtId="171" fontId="91" fillId="3" borderId="0" xfId="388" applyNumberFormat="1" applyFont="1" applyFill="1" applyBorder="1" applyAlignment="1">
      <alignment horizontal="right" wrapText="1"/>
    </xf>
    <xf numFmtId="170" fontId="102" fillId="0" borderId="53" xfId="388" applyNumberFormat="1" applyFont="1" applyFill="1" applyBorder="1" applyAlignment="1">
      <alignment horizontal="center" vertical="center" wrapText="1"/>
    </xf>
    <xf numFmtId="174" fontId="85" fillId="0" borderId="72" xfId="388" applyNumberFormat="1" applyFont="1" applyFill="1" applyBorder="1" applyAlignment="1">
      <alignment horizontal="center" vertical="center" wrapText="1"/>
    </xf>
    <xf numFmtId="174" fontId="80" fillId="0" borderId="72" xfId="388" applyNumberFormat="1" applyFont="1" applyFill="1" applyBorder="1" applyAlignment="1">
      <alignment horizontal="center" vertical="center" wrapText="1"/>
    </xf>
    <xf numFmtId="164" fontId="102" fillId="2" borderId="72" xfId="388" applyNumberFormat="1" applyFont="1" applyFill="1" applyBorder="1" applyAlignment="1">
      <alignment horizontal="center" vertical="center" wrapText="1"/>
    </xf>
    <xf numFmtId="174" fontId="80" fillId="2" borderId="82" xfId="388" applyNumberFormat="1" applyFont="1" applyFill="1" applyBorder="1" applyAlignment="1">
      <alignment horizontal="center" vertical="center" wrapText="1"/>
    </xf>
    <xf numFmtId="164" fontId="102" fillId="5" borderId="72" xfId="388" applyNumberFormat="1" applyFont="1" applyFill="1" applyBorder="1" applyAlignment="1">
      <alignment horizontal="center" vertical="center" wrapText="1"/>
    </xf>
    <xf numFmtId="174" fontId="80" fillId="5" borderId="82" xfId="388" applyNumberFormat="1" applyFont="1" applyFill="1" applyBorder="1" applyAlignment="1">
      <alignment horizontal="center" vertical="center" wrapText="1"/>
    </xf>
    <xf numFmtId="171" fontId="0" fillId="0" borderId="0" xfId="0" applyNumberFormat="1"/>
    <xf numFmtId="170" fontId="91" fillId="74" borderId="72" xfId="388" applyNumberFormat="1" applyFont="1" applyFill="1" applyBorder="1" applyAlignment="1">
      <alignment horizontal="center" vertical="center" wrapText="1"/>
    </xf>
    <xf numFmtId="170" fontId="80" fillId="3" borderId="72" xfId="2" applyNumberFormat="1" applyFont="1" applyFill="1" applyBorder="1" applyAlignment="1">
      <alignment horizontal="center" vertical="center" wrapText="1"/>
    </xf>
    <xf numFmtId="174" fontId="102" fillId="0" borderId="72" xfId="388" applyNumberFormat="1" applyFont="1" applyFill="1" applyBorder="1" applyAlignment="1">
      <alignment horizontal="center" vertical="center" wrapText="1"/>
    </xf>
    <xf numFmtId="170" fontId="91" fillId="3" borderId="72" xfId="2" applyNumberFormat="1" applyFont="1" applyFill="1" applyBorder="1" applyAlignment="1">
      <alignment horizontal="center" vertical="center" wrapText="1"/>
    </xf>
    <xf numFmtId="0" fontId="75" fillId="0" borderId="0" xfId="0" applyFont="1"/>
    <xf numFmtId="164" fontId="85" fillId="74" borderId="72" xfId="388" applyNumberFormat="1" applyFont="1" applyFill="1" applyBorder="1" applyAlignment="1">
      <alignment horizontal="center" vertical="center" wrapText="1"/>
    </xf>
    <xf numFmtId="174" fontId="85" fillId="74" borderId="72" xfId="388" applyNumberFormat="1" applyFont="1" applyFill="1" applyBorder="1" applyAlignment="1">
      <alignment horizontal="center" vertical="center" wrapText="1"/>
    </xf>
    <xf numFmtId="170" fontId="80" fillId="3" borderId="72" xfId="388" applyNumberFormat="1" applyFont="1" applyFill="1" applyBorder="1" applyAlignment="1">
      <alignment horizontal="center" vertical="center" wrapText="1"/>
    </xf>
    <xf numFmtId="0" fontId="2" fillId="0" borderId="0" xfId="0" applyFont="1"/>
    <xf numFmtId="170" fontId="102" fillId="3" borderId="72" xfId="388" applyNumberFormat="1" applyFont="1" applyFill="1" applyBorder="1" applyAlignment="1">
      <alignment horizontal="center" vertical="center" wrapText="1"/>
    </xf>
    <xf numFmtId="164" fontId="91" fillId="3" borderId="72" xfId="2" applyNumberFormat="1" applyFont="1" applyFill="1" applyBorder="1" applyAlignment="1">
      <alignment horizontal="center" vertical="center" wrapText="1"/>
    </xf>
    <xf numFmtId="170" fontId="85" fillId="3" borderId="72" xfId="388" applyNumberFormat="1" applyFont="1" applyFill="1" applyBorder="1" applyAlignment="1">
      <alignment horizontal="center" vertical="center" wrapText="1"/>
    </xf>
    <xf numFmtId="164" fontId="80" fillId="3" borderId="72" xfId="388" applyNumberFormat="1" applyFont="1" applyFill="1" applyBorder="1" applyAlignment="1">
      <alignment horizontal="center" vertical="center" wrapText="1"/>
    </xf>
    <xf numFmtId="174" fontId="91" fillId="3" borderId="72" xfId="2" applyNumberFormat="1" applyFont="1" applyFill="1" applyBorder="1" applyAlignment="1">
      <alignment horizontal="center" vertical="center" wrapText="1"/>
    </xf>
    <xf numFmtId="170" fontId="102" fillId="5" borderId="72" xfId="388" applyNumberFormat="1" applyFont="1" applyFill="1" applyBorder="1" applyAlignment="1">
      <alignment horizontal="center" vertical="center" wrapText="1"/>
    </xf>
    <xf numFmtId="174" fontId="102" fillId="5" borderId="72" xfId="388" applyNumberFormat="1" applyFont="1" applyFill="1" applyBorder="1" applyAlignment="1">
      <alignment horizontal="center" vertical="center" wrapText="1"/>
    </xf>
    <xf numFmtId="170" fontId="80" fillId="5" borderId="72" xfId="2" applyNumberFormat="1" applyFont="1" applyFill="1" applyBorder="1" applyAlignment="1">
      <alignment horizontal="center" vertical="center" wrapText="1"/>
    </xf>
    <xf numFmtId="0" fontId="59" fillId="0" borderId="0" xfId="388" applyAlignment="1">
      <alignment horizontal="center" vertical="center"/>
    </xf>
    <xf numFmtId="171" fontId="85" fillId="0" borderId="81" xfId="388" applyNumberFormat="1" applyFont="1" applyFill="1" applyBorder="1" applyAlignment="1">
      <alignment horizontal="center" vertical="center" wrapText="1"/>
    </xf>
    <xf numFmtId="171" fontId="85" fillId="0" borderId="82" xfId="38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1" applyFont="1" applyAlignment="1"/>
    <xf numFmtId="0" fontId="61" fillId="0" borderId="0" xfId="675" applyAlignment="1">
      <alignment horizontal="left"/>
    </xf>
    <xf numFmtId="0" fontId="61" fillId="0" borderId="0" xfId="675" applyAlignment="1">
      <alignment horizontal="center" vertical="center" wrapText="1"/>
    </xf>
    <xf numFmtId="0" fontId="61" fillId="0" borderId="0" xfId="675" applyAlignment="1">
      <alignment horizontal="center" vertical="center"/>
    </xf>
    <xf numFmtId="0" fontId="61" fillId="0" borderId="0" xfId="675" applyAlignment="1">
      <alignment horizontal="left" vertical="top" wrapText="1"/>
    </xf>
    <xf numFmtId="0" fontId="61" fillId="0" borderId="0" xfId="675"/>
    <xf numFmtId="4" fontId="111" fillId="0" borderId="91" xfId="675" applyNumberFormat="1" applyFont="1" applyBorder="1" applyAlignment="1">
      <alignment horizontal="right" vertical="top" wrapText="1"/>
    </xf>
    <xf numFmtId="0" fontId="110" fillId="0" borderId="0" xfId="675" applyFont="1"/>
    <xf numFmtId="0" fontId="110" fillId="0" borderId="0" xfId="675" applyFont="1" applyAlignment="1">
      <alignment horizontal="left" vertical="top" wrapText="1"/>
    </xf>
    <xf numFmtId="0" fontId="61" fillId="0" borderId="0" xfId="675" applyFont="1" applyAlignment="1">
      <alignment horizontal="left"/>
    </xf>
    <xf numFmtId="0" fontId="61" fillId="75" borderId="0" xfId="675" applyFont="1" applyFill="1" applyAlignment="1">
      <alignment horizontal="left"/>
    </xf>
    <xf numFmtId="0" fontId="6" fillId="3" borderId="0" xfId="1" applyFont="1" applyFill="1" applyAlignment="1">
      <alignment horizontal="right"/>
    </xf>
    <xf numFmtId="0" fontId="71" fillId="3" borderId="0" xfId="673" applyFont="1" applyFill="1"/>
    <xf numFmtId="0" fontId="1" fillId="3" borderId="0" xfId="673" applyFill="1"/>
    <xf numFmtId="0" fontId="68" fillId="3" borderId="0" xfId="673" applyFont="1" applyFill="1" applyAlignment="1">
      <alignment horizontal="right"/>
    </xf>
    <xf numFmtId="0" fontId="16" fillId="3" borderId="0" xfId="673" applyFont="1" applyFill="1" applyAlignment="1">
      <alignment horizontal="center" wrapText="1"/>
    </xf>
    <xf numFmtId="0" fontId="16" fillId="3" borderId="79" xfId="673" applyFont="1" applyFill="1" applyBorder="1" applyAlignment="1">
      <alignment horizontal="center" vertical="top" wrapText="1"/>
    </xf>
    <xf numFmtId="0" fontId="6" fillId="3" borderId="79" xfId="673" applyFont="1" applyFill="1" applyBorder="1" applyAlignment="1">
      <alignment horizontal="center" vertical="top" wrapText="1"/>
    </xf>
    <xf numFmtId="1" fontId="6" fillId="3" borderId="79" xfId="673" applyNumberFormat="1" applyFont="1" applyFill="1" applyBorder="1" applyAlignment="1">
      <alignment horizontal="center" vertical="center" wrapText="1"/>
    </xf>
    <xf numFmtId="168" fontId="6" fillId="3" borderId="79" xfId="673" applyNumberFormat="1" applyFont="1" applyFill="1" applyBorder="1" applyAlignment="1">
      <alignment horizontal="left" vertical="center" wrapText="1"/>
    </xf>
    <xf numFmtId="168" fontId="6" fillId="3" borderId="79" xfId="673" applyNumberFormat="1" applyFont="1" applyFill="1" applyBorder="1" applyAlignment="1">
      <alignment horizontal="center" vertical="center" wrapText="1"/>
    </xf>
    <xf numFmtId="171" fontId="6" fillId="3" borderId="79" xfId="673" applyNumberFormat="1" applyFont="1" applyFill="1" applyBorder="1" applyAlignment="1">
      <alignment horizontal="center" vertical="center" wrapText="1"/>
    </xf>
    <xf numFmtId="168" fontId="5" fillId="3" borderId="79" xfId="673" applyNumberFormat="1" applyFont="1" applyFill="1" applyBorder="1" applyAlignment="1">
      <alignment horizontal="center" vertical="center" wrapText="1"/>
    </xf>
    <xf numFmtId="171" fontId="5" fillId="3" borderId="79" xfId="673" applyNumberFormat="1" applyFont="1" applyFill="1" applyBorder="1" applyAlignment="1">
      <alignment horizontal="center" vertical="center" wrapText="1"/>
    </xf>
    <xf numFmtId="1" fontId="5" fillId="3" borderId="79" xfId="673" applyNumberFormat="1" applyFont="1" applyFill="1" applyBorder="1" applyAlignment="1">
      <alignment horizontal="center" vertical="center" wrapText="1"/>
    </xf>
    <xf numFmtId="0" fontId="6" fillId="3" borderId="79" xfId="673" applyFont="1" applyFill="1" applyBorder="1" applyAlignment="1">
      <alignment horizontal="center" vertical="center" wrapText="1"/>
    </xf>
    <xf numFmtId="0" fontId="6" fillId="3" borderId="79" xfId="673" applyFont="1" applyFill="1" applyBorder="1" applyAlignment="1">
      <alignment vertical="center" wrapText="1"/>
    </xf>
    <xf numFmtId="0" fontId="71" fillId="0" borderId="0" xfId="669" applyFont="1"/>
    <xf numFmtId="0" fontId="113" fillId="0" borderId="0" xfId="669" applyFont="1"/>
    <xf numFmtId="171" fontId="94" fillId="0" borderId="79" xfId="669" applyNumberFormat="1" applyFont="1" applyBorder="1" applyAlignment="1">
      <alignment horizontal="center" vertical="center" wrapText="1"/>
    </xf>
    <xf numFmtId="171" fontId="16" fillId="0" borderId="79" xfId="669" applyNumberFormat="1" applyFont="1" applyBorder="1" applyAlignment="1">
      <alignment horizontal="center" vertical="center" wrapText="1"/>
    </xf>
    <xf numFmtId="171" fontId="72" fillId="0" borderId="79" xfId="1" applyNumberFormat="1" applyFont="1" applyBorder="1" applyAlignment="1">
      <alignment horizontal="center" vertical="center" wrapText="1"/>
    </xf>
    <xf numFmtId="0" fontId="16" fillId="0" borderId="79" xfId="1" applyFont="1" applyBorder="1" applyAlignment="1">
      <alignment vertical="top" wrapText="1"/>
    </xf>
    <xf numFmtId="0" fontId="16" fillId="0" borderId="0" xfId="1" applyFont="1" applyAlignment="1">
      <alignment vertical="center" wrapText="1"/>
    </xf>
    <xf numFmtId="0" fontId="68" fillId="0" borderId="79" xfId="669" applyFont="1" applyBorder="1" applyAlignment="1">
      <alignment horizontal="center" vertical="center" wrapText="1"/>
    </xf>
    <xf numFmtId="0" fontId="16" fillId="0" borderId="76" xfId="1" applyFont="1" applyBorder="1" applyAlignment="1">
      <alignment vertical="center" wrapText="1"/>
    </xf>
    <xf numFmtId="0" fontId="16" fillId="0" borderId="76" xfId="1" applyFont="1" applyBorder="1" applyAlignment="1">
      <alignment vertical="top" wrapText="1"/>
    </xf>
    <xf numFmtId="171" fontId="6" fillId="0" borderId="79" xfId="669" applyNumberFormat="1" applyFont="1" applyBorder="1" applyAlignment="1">
      <alignment horizontal="center" vertical="center" wrapText="1"/>
    </xf>
    <xf numFmtId="171" fontId="115" fillId="0" borderId="79" xfId="1" applyNumberFormat="1" applyFont="1" applyBorder="1" applyAlignment="1">
      <alignment horizontal="center" vertical="center" wrapText="1"/>
    </xf>
    <xf numFmtId="0" fontId="68" fillId="0" borderId="79" xfId="669" applyFont="1" applyBorder="1" applyAlignment="1">
      <alignment horizontal="center" vertical="top" wrapText="1"/>
    </xf>
    <xf numFmtId="0" fontId="71" fillId="0" borderId="0" xfId="669" applyFont="1" applyAlignment="1">
      <alignment horizontal="right" wrapText="1"/>
    </xf>
    <xf numFmtId="0" fontId="113" fillId="0" borderId="0" xfId="669" applyFont="1" applyAlignment="1">
      <alignment horizontal="center" wrapText="1"/>
    </xf>
    <xf numFmtId="0" fontId="71" fillId="0" borderId="0" xfId="669" applyFont="1" applyAlignment="1">
      <alignment horizontal="right"/>
    </xf>
    <xf numFmtId="0" fontId="92" fillId="3" borderId="40" xfId="0" applyFont="1" applyFill="1" applyBorder="1" applyAlignment="1">
      <alignment horizontal="center" vertical="center" wrapText="1"/>
    </xf>
    <xf numFmtId="49" fontId="5" fillId="3" borderId="80" xfId="1" applyNumberFormat="1" applyFont="1" applyFill="1" applyBorder="1" applyAlignment="1">
      <alignment horizontal="center" vertical="top" wrapText="1"/>
    </xf>
    <xf numFmtId="0" fontId="5" fillId="3" borderId="79" xfId="1" applyFont="1" applyFill="1" applyBorder="1" applyAlignment="1">
      <alignment horizontal="center" vertical="center" wrapText="1"/>
    </xf>
    <xf numFmtId="164" fontId="5" fillId="0" borderId="33" xfId="1" applyNumberFormat="1" applyFont="1" applyFill="1" applyBorder="1" applyAlignment="1">
      <alignment horizontal="center" vertical="center" wrapText="1"/>
    </xf>
    <xf numFmtId="171" fontId="5" fillId="0" borderId="40" xfId="1" applyNumberFormat="1" applyFont="1" applyFill="1" applyBorder="1" applyAlignment="1">
      <alignment horizontal="center" vertical="center" wrapText="1"/>
    </xf>
    <xf numFmtId="0" fontId="16" fillId="0" borderId="79" xfId="1" applyFont="1" applyFill="1" applyBorder="1" applyAlignment="1">
      <alignment horizontal="center"/>
    </xf>
    <xf numFmtId="0" fontId="105" fillId="0" borderId="79" xfId="388" applyFont="1" applyBorder="1" applyAlignment="1">
      <alignment horizontal="center" vertical="center" wrapText="1"/>
    </xf>
    <xf numFmtId="0" fontId="80" fillId="0" borderId="0" xfId="388" applyFont="1" applyAlignment="1">
      <alignment horizontal="right"/>
    </xf>
    <xf numFmtId="0" fontId="91" fillId="3" borderId="0" xfId="1" applyFont="1" applyFill="1" applyAlignment="1">
      <alignment horizontal="right" vertical="center" wrapText="1"/>
    </xf>
    <xf numFmtId="0" fontId="100" fillId="0" borderId="0" xfId="388" applyNumberFormat="1" applyFont="1" applyFill="1" applyBorder="1" applyAlignment="1">
      <alignment horizontal="right" vertical="center"/>
    </xf>
    <xf numFmtId="0" fontId="102" fillId="0" borderId="0" xfId="388" applyNumberFormat="1" applyFont="1" applyFill="1" applyBorder="1" applyAlignment="1">
      <alignment horizontal="center" vertical="center" wrapText="1"/>
    </xf>
    <xf numFmtId="49" fontId="81" fillId="0" borderId="79" xfId="388" applyNumberFormat="1" applyFont="1" applyFill="1" applyBorder="1" applyAlignment="1">
      <alignment horizontal="center" vertical="center" wrapText="1"/>
    </xf>
    <xf numFmtId="0" fontId="104" fillId="0" borderId="80" xfId="388" applyFont="1" applyBorder="1" applyAlignment="1">
      <alignment horizontal="center" vertical="center" wrapText="1"/>
    </xf>
    <xf numFmtId="0" fontId="104" fillId="0" borderId="41" xfId="388" applyFont="1" applyBorder="1" applyAlignment="1">
      <alignment horizontal="center" vertical="center" wrapText="1"/>
    </xf>
    <xf numFmtId="0" fontId="104" fillId="0" borderId="22" xfId="388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15" fillId="0" borderId="0" xfId="1" applyFont="1" applyAlignment="1">
      <alignment horizontal="right"/>
    </xf>
    <xf numFmtId="49" fontId="5" fillId="0" borderId="37" xfId="664" applyNumberFormat="1" applyFont="1" applyBorder="1" applyAlignment="1" applyProtection="1">
      <alignment horizontal="center" vertical="center" wrapText="1"/>
    </xf>
    <xf numFmtId="49" fontId="5" fillId="0" borderId="31" xfId="664" applyNumberFormat="1" applyFont="1" applyBorder="1" applyAlignment="1" applyProtection="1">
      <alignment horizontal="center" vertical="center" wrapText="1"/>
    </xf>
    <xf numFmtId="0" fontId="6" fillId="3" borderId="0" xfId="664" applyFont="1" applyFill="1" applyBorder="1" applyAlignment="1" applyProtection="1">
      <alignment horizontal="right"/>
    </xf>
    <xf numFmtId="0" fontId="6" fillId="3" borderId="0" xfId="664" applyFont="1" applyFill="1" applyBorder="1" applyAlignment="1" applyProtection="1">
      <alignment horizontal="right" vertical="top" wrapText="1"/>
    </xf>
    <xf numFmtId="0" fontId="70" fillId="0" borderId="0" xfId="664" applyFont="1" applyBorder="1" applyAlignment="1" applyProtection="1">
      <alignment horizontal="center" vertical="center" wrapText="1"/>
    </xf>
    <xf numFmtId="49" fontId="5" fillId="0" borderId="24" xfId="664" applyNumberFormat="1" applyFont="1" applyBorder="1" applyAlignment="1" applyProtection="1">
      <alignment horizontal="center" vertical="center" wrapText="1"/>
    </xf>
    <xf numFmtId="49" fontId="5" fillId="0" borderId="37" xfId="664" applyNumberFormat="1" applyFont="1" applyBorder="1" applyAlignment="1" applyProtection="1">
      <alignment horizontal="center"/>
    </xf>
    <xf numFmtId="49" fontId="5" fillId="0" borderId="31" xfId="664" applyNumberFormat="1" applyFont="1" applyBorder="1" applyAlignment="1" applyProtection="1">
      <alignment horizontal="center"/>
    </xf>
    <xf numFmtId="172" fontId="81" fillId="0" borderId="23" xfId="552" applyNumberFormat="1" applyFont="1" applyBorder="1" applyAlignment="1" applyProtection="1">
      <alignment horizontal="center" vertical="center" wrapText="1"/>
    </xf>
    <xf numFmtId="172" fontId="81" fillId="0" borderId="22" xfId="552" applyNumberFormat="1" applyFont="1" applyBorder="1" applyAlignment="1" applyProtection="1">
      <alignment horizontal="center" vertical="center" wrapText="1"/>
    </xf>
    <xf numFmtId="172" fontId="81" fillId="0" borderId="40" xfId="552" applyNumberFormat="1" applyFont="1" applyBorder="1" applyAlignment="1" applyProtection="1">
      <alignment horizontal="center" vertical="center" wrapText="1"/>
    </xf>
    <xf numFmtId="49" fontId="16" fillId="0" borderId="0" xfId="585" applyNumberFormat="1" applyFont="1" applyAlignment="1">
      <alignment horizontal="right"/>
    </xf>
    <xf numFmtId="0" fontId="16" fillId="0" borderId="0" xfId="585" applyFont="1" applyAlignment="1">
      <alignment horizontal="right"/>
    </xf>
    <xf numFmtId="0" fontId="80" fillId="0" borderId="0" xfId="585" applyFont="1" applyBorder="1" applyAlignment="1">
      <alignment horizontal="center" vertical="center" wrapText="1"/>
    </xf>
    <xf numFmtId="49" fontId="71" fillId="0" borderId="3" xfId="585" applyNumberFormat="1" applyFont="1" applyBorder="1" applyAlignment="1">
      <alignment horizontal="right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88" fillId="0" borderId="0" xfId="1" applyFont="1" applyFill="1" applyAlignment="1">
      <alignment horizontal="center" vertical="center"/>
    </xf>
    <xf numFmtId="0" fontId="88" fillId="0" borderId="0" xfId="1" applyFont="1" applyFill="1" applyAlignment="1">
      <alignment horizontal="center" vertical="center" wrapText="1"/>
    </xf>
    <xf numFmtId="0" fontId="87" fillId="0" borderId="3" xfId="1" applyFont="1" applyFill="1" applyBorder="1" applyAlignment="1">
      <alignment horizontal="right" vertical="center"/>
    </xf>
    <xf numFmtId="0" fontId="87" fillId="0" borderId="0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right"/>
    </xf>
    <xf numFmtId="0" fontId="16" fillId="0" borderId="40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right"/>
    </xf>
    <xf numFmtId="0" fontId="70" fillId="0" borderId="0" xfId="1" applyFont="1" applyFill="1" applyAlignment="1">
      <alignment horizontal="center"/>
    </xf>
    <xf numFmtId="0" fontId="70" fillId="0" borderId="0" xfId="1" applyFont="1" applyFill="1" applyAlignment="1">
      <alignment horizontal="center" wrapText="1"/>
    </xf>
    <xf numFmtId="0" fontId="70" fillId="0" borderId="0" xfId="1" applyFont="1" applyFill="1" applyAlignment="1">
      <alignment horizontal="center" vertical="center" wrapText="1"/>
    </xf>
    <xf numFmtId="0" fontId="70" fillId="0" borderId="0" xfId="1" applyFont="1" applyFill="1" applyAlignment="1">
      <alignment horizontal="center" vertical="center"/>
    </xf>
    <xf numFmtId="0" fontId="80" fillId="0" borderId="37" xfId="1" applyFont="1" applyBorder="1" applyAlignment="1">
      <alignment horizontal="center" vertical="center"/>
    </xf>
    <xf numFmtId="0" fontId="80" fillId="0" borderId="31" xfId="1" applyFont="1" applyBorder="1" applyAlignment="1">
      <alignment horizontal="center" vertical="center"/>
    </xf>
    <xf numFmtId="0" fontId="16" fillId="3" borderId="0" xfId="1" applyFont="1" applyFill="1" applyAlignment="1">
      <alignment horizontal="right"/>
    </xf>
    <xf numFmtId="0" fontId="80" fillId="0" borderId="0" xfId="1" applyFont="1" applyBorder="1" applyAlignment="1">
      <alignment horizontal="center" vertical="center" wrapText="1"/>
    </xf>
    <xf numFmtId="0" fontId="91" fillId="0" borderId="23" xfId="1" applyFont="1" applyBorder="1" applyAlignment="1">
      <alignment horizontal="center" vertical="center" wrapText="1"/>
    </xf>
    <xf numFmtId="0" fontId="91" fillId="0" borderId="41" xfId="1" applyFont="1" applyBorder="1" applyAlignment="1">
      <alignment horizontal="center" vertical="center" wrapText="1"/>
    </xf>
    <xf numFmtId="0" fontId="91" fillId="0" borderId="22" xfId="1" applyFont="1" applyBorder="1" applyAlignment="1">
      <alignment horizontal="center" vertical="center" wrapText="1"/>
    </xf>
    <xf numFmtId="0" fontId="91" fillId="0" borderId="40" xfId="1" applyFont="1" applyBorder="1" applyAlignment="1">
      <alignment horizontal="center" vertical="center" wrapText="1"/>
    </xf>
    <xf numFmtId="0" fontId="91" fillId="0" borderId="37" xfId="1" applyFont="1" applyBorder="1" applyAlignment="1">
      <alignment horizontal="center" vertical="center" wrapText="1"/>
    </xf>
    <xf numFmtId="0" fontId="91" fillId="0" borderId="24" xfId="1" applyFont="1" applyBorder="1" applyAlignment="1">
      <alignment horizontal="center" vertical="center" wrapText="1"/>
    </xf>
    <xf numFmtId="0" fontId="91" fillId="0" borderId="25" xfId="1" applyFont="1" applyBorder="1" applyAlignment="1">
      <alignment horizontal="center" vertical="center" wrapText="1"/>
    </xf>
    <xf numFmtId="0" fontId="91" fillId="0" borderId="27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0" fillId="3" borderId="0" xfId="1" applyFont="1" applyFill="1" applyAlignment="1">
      <alignment horizontal="center" wrapText="1"/>
    </xf>
    <xf numFmtId="0" fontId="68" fillId="3" borderId="0" xfId="1" applyFont="1" applyFill="1" applyAlignment="1">
      <alignment horizontal="right"/>
    </xf>
    <xf numFmtId="49" fontId="68" fillId="3" borderId="0" xfId="1" applyNumberFormat="1" applyFont="1" applyFill="1" applyAlignment="1">
      <alignment horizontal="right"/>
    </xf>
    <xf numFmtId="0" fontId="6" fillId="3" borderId="0" xfId="1" applyFont="1" applyFill="1" applyAlignment="1">
      <alignment horizontal="right"/>
    </xf>
    <xf numFmtId="0" fontId="70" fillId="3" borderId="0" xfId="1" applyFont="1" applyFill="1" applyAlignment="1">
      <alignment horizontal="center"/>
    </xf>
    <xf numFmtId="49" fontId="16" fillId="3" borderId="40" xfId="1" applyNumberFormat="1" applyFont="1" applyFill="1" applyBorder="1" applyAlignment="1">
      <alignment horizontal="center" vertical="top" wrapText="1"/>
    </xf>
    <xf numFmtId="0" fontId="16" fillId="3" borderId="40" xfId="1" applyFont="1" applyFill="1" applyBorder="1" applyAlignment="1">
      <alignment horizontal="center" vertical="top" wrapText="1"/>
    </xf>
    <xf numFmtId="0" fontId="16" fillId="3" borderId="23" xfId="1" applyFont="1" applyFill="1" applyBorder="1" applyAlignment="1">
      <alignment horizontal="center" vertical="top" wrapText="1"/>
    </xf>
    <xf numFmtId="0" fontId="16" fillId="3" borderId="22" xfId="1" applyFont="1" applyFill="1" applyBorder="1" applyAlignment="1">
      <alignment horizontal="center" vertical="top" wrapText="1"/>
    </xf>
    <xf numFmtId="0" fontId="70" fillId="2" borderId="40" xfId="1" applyFont="1" applyFill="1" applyBorder="1" applyAlignment="1">
      <alignment horizontal="left" vertical="top" wrapText="1"/>
    </xf>
    <xf numFmtId="0" fontId="70" fillId="2" borderId="37" xfId="1" applyFont="1" applyFill="1" applyBorder="1" applyAlignment="1">
      <alignment horizontal="left" vertical="top" wrapText="1"/>
    </xf>
    <xf numFmtId="0" fontId="70" fillId="2" borderId="24" xfId="1" applyFont="1" applyFill="1" applyBorder="1" applyAlignment="1">
      <alignment horizontal="left" vertical="top" wrapText="1"/>
    </xf>
    <xf numFmtId="0" fontId="70" fillId="2" borderId="31" xfId="1" applyFont="1" applyFill="1" applyBorder="1" applyAlignment="1">
      <alignment horizontal="left" vertical="top" wrapText="1"/>
    </xf>
    <xf numFmtId="49" fontId="70" fillId="2" borderId="37" xfId="1" applyNumberFormat="1" applyFont="1" applyFill="1" applyBorder="1" applyAlignment="1">
      <alignment horizontal="left" vertical="top" wrapText="1"/>
    </xf>
    <xf numFmtId="49" fontId="70" fillId="2" borderId="24" xfId="1" applyNumberFormat="1" applyFont="1" applyFill="1" applyBorder="1" applyAlignment="1">
      <alignment horizontal="left" vertical="top" wrapText="1"/>
    </xf>
    <xf numFmtId="49" fontId="70" fillId="2" borderId="31" xfId="1" applyNumberFormat="1" applyFont="1" applyFill="1" applyBorder="1" applyAlignment="1">
      <alignment horizontal="left" vertical="top" wrapText="1"/>
    </xf>
    <xf numFmtId="0" fontId="68" fillId="0" borderId="44" xfId="1" applyFont="1" applyBorder="1" applyAlignment="1">
      <alignment horizontal="center" vertical="top" wrapText="1"/>
    </xf>
    <xf numFmtId="0" fontId="68" fillId="0" borderId="47" xfId="1" applyFont="1" applyBorder="1" applyAlignment="1">
      <alignment horizontal="center" vertical="top" wrapText="1"/>
    </xf>
    <xf numFmtId="0" fontId="68" fillId="0" borderId="45" xfId="1" applyFont="1" applyBorder="1" applyAlignment="1">
      <alignment horizontal="center" vertical="top" wrapText="1"/>
    </xf>
    <xf numFmtId="0" fontId="68" fillId="0" borderId="46" xfId="1" applyFont="1" applyBorder="1" applyAlignment="1">
      <alignment horizontal="center" vertical="top" wrapText="1"/>
    </xf>
    <xf numFmtId="0" fontId="68" fillId="0" borderId="44" xfId="1" applyFont="1" applyBorder="1" applyAlignment="1">
      <alignment horizontal="center" vertical="center" wrapText="1"/>
    </xf>
    <xf numFmtId="0" fontId="68" fillId="0" borderId="47" xfId="1" applyFont="1" applyBorder="1" applyAlignment="1">
      <alignment horizontal="center" vertical="center" wrapText="1"/>
    </xf>
    <xf numFmtId="0" fontId="10" fillId="3" borderId="0" xfId="1" applyFont="1" applyFill="1" applyAlignment="1">
      <alignment horizontal="right" wrapText="1"/>
    </xf>
    <xf numFmtId="0" fontId="80" fillId="0" borderId="0" xfId="1" applyFont="1" applyAlignment="1">
      <alignment horizontal="center" vertical="center" wrapText="1"/>
    </xf>
    <xf numFmtId="0" fontId="16" fillId="0" borderId="0" xfId="1" applyFont="1" applyBorder="1" applyAlignment="1">
      <alignment horizontal="right"/>
    </xf>
    <xf numFmtId="0" fontId="16" fillId="0" borderId="43" xfId="1" applyFont="1" applyBorder="1" applyAlignment="1">
      <alignment horizontal="right"/>
    </xf>
    <xf numFmtId="0" fontId="94" fillId="0" borderId="49" xfId="1" applyFont="1" applyBorder="1" applyAlignment="1">
      <alignment horizontal="center" vertical="top" wrapText="1"/>
    </xf>
    <xf numFmtId="0" fontId="94" fillId="0" borderId="50" xfId="1" applyFont="1" applyBorder="1" applyAlignment="1">
      <alignment horizontal="center" vertical="top" wrapText="1"/>
    </xf>
    <xf numFmtId="0" fontId="94" fillId="0" borderId="51" xfId="1" applyFont="1" applyBorder="1" applyAlignment="1">
      <alignment horizontal="center" vertical="top" wrapText="1"/>
    </xf>
    <xf numFmtId="4" fontId="94" fillId="0" borderId="49" xfId="1" applyNumberFormat="1" applyFont="1" applyBorder="1" applyAlignment="1">
      <alignment horizontal="center" vertical="top" wrapText="1"/>
    </xf>
    <xf numFmtId="4" fontId="94" fillId="0" borderId="51" xfId="1" applyNumberFormat="1" applyFont="1" applyBorder="1" applyAlignment="1">
      <alignment horizontal="center" vertical="top" wrapText="1"/>
    </xf>
    <xf numFmtId="0" fontId="94" fillId="0" borderId="56" xfId="1" applyFont="1" applyBorder="1" applyAlignment="1">
      <alignment horizontal="center" vertical="top" wrapText="1"/>
    </xf>
    <xf numFmtId="0" fontId="94" fillId="0" borderId="57" xfId="1" applyFont="1" applyBorder="1" applyAlignment="1">
      <alignment horizontal="center" vertical="top" wrapText="1"/>
    </xf>
    <xf numFmtId="0" fontId="94" fillId="0" borderId="48" xfId="1" applyFont="1" applyBorder="1" applyAlignment="1">
      <alignment horizontal="center" vertical="top" wrapText="1"/>
    </xf>
    <xf numFmtId="0" fontId="94" fillId="0" borderId="45" xfId="1" applyFont="1" applyBorder="1" applyAlignment="1">
      <alignment horizontal="center" vertical="top" wrapText="1"/>
    </xf>
    <xf numFmtId="0" fontId="94" fillId="0" borderId="58" xfId="1" applyFont="1" applyBorder="1" applyAlignment="1">
      <alignment horizontal="center" vertical="top" wrapText="1"/>
    </xf>
    <xf numFmtId="0" fontId="94" fillId="0" borderId="46" xfId="1" applyFont="1" applyBorder="1" applyAlignment="1">
      <alignment horizontal="center" vertical="top" wrapText="1"/>
    </xf>
    <xf numFmtId="4" fontId="94" fillId="0" borderId="45" xfId="1" applyNumberFormat="1" applyFont="1" applyBorder="1" applyAlignment="1">
      <alignment horizontal="center" vertical="top" wrapText="1"/>
    </xf>
    <xf numFmtId="4" fontId="94" fillId="0" borderId="46" xfId="1" applyNumberFormat="1" applyFont="1" applyBorder="1" applyAlignment="1">
      <alignment horizontal="center" vertical="top" wrapText="1"/>
    </xf>
    <xf numFmtId="0" fontId="68" fillId="0" borderId="40" xfId="1" applyFont="1" applyBorder="1" applyAlignment="1">
      <alignment horizontal="center" vertical="center" wrapText="1"/>
    </xf>
    <xf numFmtId="0" fontId="68" fillId="0" borderId="72" xfId="1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73" fillId="0" borderId="0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0" fillId="0" borderId="23" xfId="0" applyFont="1" applyBorder="1" applyAlignment="1">
      <alignment horizontal="center"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 wrapText="1"/>
    </xf>
    <xf numFmtId="0" fontId="70" fillId="0" borderId="24" xfId="0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0" fontId="70" fillId="0" borderId="73" xfId="0" applyFont="1" applyBorder="1" applyAlignment="1">
      <alignment horizontal="center" vertical="center" wrapText="1"/>
    </xf>
    <xf numFmtId="0" fontId="70" fillId="0" borderId="74" xfId="0" applyFont="1" applyBorder="1" applyAlignment="1">
      <alignment horizontal="center" vertical="center" wrapText="1"/>
    </xf>
    <xf numFmtId="0" fontId="70" fillId="0" borderId="75" xfId="0" applyFont="1" applyBorder="1" applyAlignment="1">
      <alignment horizontal="center" vertical="center" wrapText="1"/>
    </xf>
    <xf numFmtId="0" fontId="70" fillId="0" borderId="3" xfId="0" applyFont="1" applyBorder="1" applyAlignment="1">
      <alignment horizontal="center" vertical="center" wrapText="1"/>
    </xf>
    <xf numFmtId="0" fontId="70" fillId="0" borderId="40" xfId="0" applyFont="1" applyBorder="1" applyAlignment="1">
      <alignment horizontal="center" vertical="center" wrapText="1"/>
    </xf>
    <xf numFmtId="0" fontId="70" fillId="0" borderId="72" xfId="0" applyFont="1" applyBorder="1" applyAlignment="1">
      <alignment horizontal="center" vertical="center" wrapText="1"/>
    </xf>
    <xf numFmtId="0" fontId="70" fillId="0" borderId="76" xfId="0" applyFont="1" applyBorder="1" applyAlignment="1">
      <alignment horizontal="center" vertical="center" wrapText="1"/>
    </xf>
    <xf numFmtId="0" fontId="70" fillId="0" borderId="78" xfId="0" applyFont="1" applyBorder="1" applyAlignment="1">
      <alignment horizontal="center" vertical="center" wrapText="1"/>
    </xf>
    <xf numFmtId="0" fontId="70" fillId="0" borderId="77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70" fillId="0" borderId="0" xfId="561" applyFont="1" applyBorder="1" applyAlignment="1">
      <alignment horizontal="center" vertical="center"/>
    </xf>
    <xf numFmtId="0" fontId="70" fillId="0" borderId="25" xfId="0" applyFont="1" applyBorder="1" applyAlignment="1">
      <alignment horizontal="center" vertical="center" wrapText="1"/>
    </xf>
    <xf numFmtId="0" fontId="70" fillId="0" borderId="26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center" vertical="center" wrapText="1"/>
    </xf>
    <xf numFmtId="0" fontId="70" fillId="0" borderId="0" xfId="677" applyFont="1" applyBorder="1" applyAlignment="1">
      <alignment horizontal="center"/>
    </xf>
    <xf numFmtId="0" fontId="70" fillId="0" borderId="0" xfId="677" applyFont="1" applyBorder="1" applyAlignment="1">
      <alignment horizontal="center" wrapText="1"/>
    </xf>
    <xf numFmtId="0" fontId="96" fillId="0" borderId="0" xfId="677" applyFont="1" applyBorder="1" applyAlignment="1">
      <alignment horizontal="center" wrapText="1"/>
    </xf>
    <xf numFmtId="0" fontId="6" fillId="0" borderId="59" xfId="1" applyFont="1" applyBorder="1" applyAlignment="1">
      <alignment horizontal="center" vertical="center" wrapText="1"/>
    </xf>
    <xf numFmtId="0" fontId="6" fillId="0" borderId="66" xfId="1" applyFont="1" applyBorder="1" applyAlignment="1">
      <alignment horizontal="center" vertical="center" wrapText="1"/>
    </xf>
    <xf numFmtId="0" fontId="6" fillId="0" borderId="68" xfId="1" applyFont="1" applyBorder="1" applyAlignment="1">
      <alignment horizontal="center" vertical="center" wrapText="1"/>
    </xf>
    <xf numFmtId="0" fontId="6" fillId="0" borderId="60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61" xfId="1" applyFont="1" applyBorder="1" applyAlignment="1">
      <alignment horizontal="center" vertical="center" wrapText="1"/>
    </xf>
    <xf numFmtId="0" fontId="6" fillId="3" borderId="60" xfId="1" applyFont="1" applyFill="1" applyBorder="1" applyAlignment="1">
      <alignment horizontal="center" vertical="center" wrapText="1"/>
    </xf>
    <xf numFmtId="0" fontId="0" fillId="3" borderId="41" xfId="0" applyFill="1" applyBorder="1"/>
    <xf numFmtId="0" fontId="0" fillId="3" borderId="22" xfId="0" applyFill="1" applyBorder="1"/>
    <xf numFmtId="0" fontId="6" fillId="3" borderId="62" xfId="1" applyFont="1" applyFill="1" applyBorder="1" applyAlignment="1">
      <alignment horizontal="center" vertical="center" wrapText="1"/>
    </xf>
    <xf numFmtId="0" fontId="0" fillId="3" borderId="63" xfId="0" applyFill="1" applyBorder="1"/>
    <xf numFmtId="0" fontId="6" fillId="3" borderId="63" xfId="1" applyFont="1" applyFill="1" applyBorder="1" applyAlignment="1">
      <alignment horizontal="center" vertical="center" wrapText="1"/>
    </xf>
    <xf numFmtId="0" fontId="97" fillId="3" borderId="23" xfId="1" applyFont="1" applyFill="1" applyBorder="1" applyAlignment="1">
      <alignment horizontal="center" vertical="center" wrapText="1"/>
    </xf>
    <xf numFmtId="0" fontId="97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3" borderId="65" xfId="1" applyFont="1" applyFill="1" applyBorder="1" applyAlignment="1">
      <alignment horizontal="center" vertical="center" wrapText="1"/>
    </xf>
    <xf numFmtId="0" fontId="0" fillId="3" borderId="67" xfId="0" applyFill="1" applyBorder="1"/>
    <xf numFmtId="0" fontId="0" fillId="3" borderId="69" xfId="0" applyFill="1" applyBorder="1"/>
    <xf numFmtId="0" fontId="6" fillId="0" borderId="40" xfId="1" applyFont="1" applyBorder="1" applyAlignment="1">
      <alignment horizontal="center" vertical="center" wrapText="1"/>
    </xf>
    <xf numFmtId="0" fontId="97" fillId="3" borderId="60" xfId="1" applyFont="1" applyFill="1" applyBorder="1" applyAlignment="1">
      <alignment horizontal="center" vertical="center" wrapText="1"/>
    </xf>
    <xf numFmtId="0" fontId="97" fillId="3" borderId="41" xfId="1" applyFont="1" applyFill="1" applyBorder="1" applyAlignment="1">
      <alignment horizontal="center" vertical="center" wrapText="1"/>
    </xf>
    <xf numFmtId="0" fontId="6" fillId="3" borderId="64" xfId="1" applyFont="1" applyFill="1" applyBorder="1" applyAlignment="1">
      <alignment horizontal="center" vertical="center" wrapText="1"/>
    </xf>
    <xf numFmtId="0" fontId="5" fillId="0" borderId="70" xfId="677" applyFont="1" applyBorder="1" applyAlignment="1">
      <alignment horizontal="center" wrapText="1"/>
    </xf>
    <xf numFmtId="0" fontId="5" fillId="0" borderId="71" xfId="677" applyFont="1" applyBorder="1" applyAlignment="1">
      <alignment horizontal="center" wrapText="1"/>
    </xf>
    <xf numFmtId="0" fontId="14" fillId="6" borderId="40" xfId="1" applyFont="1" applyFill="1" applyBorder="1" applyAlignment="1">
      <alignment horizontal="center" vertical="center" wrapText="1"/>
    </xf>
    <xf numFmtId="0" fontId="70" fillId="0" borderId="0" xfId="1" applyFont="1" applyAlignment="1">
      <alignment horizontal="center" vertical="center" wrapText="1"/>
    </xf>
    <xf numFmtId="0" fontId="16" fillId="0" borderId="40" xfId="1" applyFont="1" applyBorder="1" applyAlignment="1">
      <alignment horizontal="center" vertical="top" wrapText="1"/>
    </xf>
    <xf numFmtId="0" fontId="16" fillId="0" borderId="37" xfId="1" applyFont="1" applyBorder="1" applyAlignment="1">
      <alignment horizontal="center" vertical="top" wrapText="1"/>
    </xf>
    <xf numFmtId="0" fontId="16" fillId="0" borderId="24" xfId="1" applyFont="1" applyBorder="1" applyAlignment="1">
      <alignment horizontal="center" vertical="top" wrapText="1"/>
    </xf>
    <xf numFmtId="0" fontId="16" fillId="0" borderId="31" xfId="1" applyFont="1" applyBorder="1" applyAlignment="1">
      <alignment horizontal="center" vertical="top" wrapText="1"/>
    </xf>
    <xf numFmtId="0" fontId="80" fillId="71" borderId="0" xfId="1" applyFont="1" applyFill="1" applyAlignment="1">
      <alignment horizontal="center"/>
    </xf>
    <xf numFmtId="0" fontId="6" fillId="71" borderId="0" xfId="1" applyFont="1" applyFill="1" applyAlignment="1">
      <alignment horizontal="right"/>
    </xf>
    <xf numFmtId="0" fontId="16" fillId="71" borderId="0" xfId="1" applyFont="1" applyFill="1" applyBorder="1" applyAlignment="1">
      <alignment horizontal="right"/>
    </xf>
    <xf numFmtId="0" fontId="16" fillId="71" borderId="40" xfId="1" applyFont="1" applyFill="1" applyBorder="1" applyAlignment="1">
      <alignment horizontal="center" vertical="top" wrapText="1"/>
    </xf>
    <xf numFmtId="0" fontId="61" fillId="0" borderId="90" xfId="675" applyBorder="1" applyAlignment="1">
      <alignment horizontal="center" vertical="center" wrapText="1"/>
    </xf>
    <xf numFmtId="0" fontId="61" fillId="0" borderId="85" xfId="675" applyBorder="1" applyAlignment="1">
      <alignment horizontal="center" vertical="center" wrapText="1"/>
    </xf>
    <xf numFmtId="0" fontId="61" fillId="0" borderId="84" xfId="675" applyBorder="1" applyAlignment="1">
      <alignment horizontal="center" vertical="center" wrapText="1"/>
    </xf>
    <xf numFmtId="0" fontId="61" fillId="0" borderId="83" xfId="675" applyBorder="1" applyAlignment="1">
      <alignment horizontal="center" vertical="center" wrapText="1"/>
    </xf>
    <xf numFmtId="0" fontId="61" fillId="0" borderId="88" xfId="675" applyBorder="1" applyAlignment="1">
      <alignment horizontal="center" vertical="center" wrapText="1"/>
    </xf>
    <xf numFmtId="0" fontId="61" fillId="0" borderId="87" xfId="675" applyBorder="1" applyAlignment="1">
      <alignment horizontal="center" vertical="center" wrapText="1"/>
    </xf>
    <xf numFmtId="0" fontId="61" fillId="0" borderId="89" xfId="675" applyBorder="1" applyAlignment="1">
      <alignment horizontal="center" vertical="center" wrapText="1"/>
    </xf>
    <xf numFmtId="0" fontId="61" fillId="0" borderId="0" xfId="675" applyAlignment="1">
      <alignment horizontal="center" vertical="center" wrapText="1"/>
    </xf>
    <xf numFmtId="0" fontId="61" fillId="0" borderId="86" xfId="675" applyBorder="1" applyAlignment="1">
      <alignment horizontal="center" vertical="center" wrapText="1"/>
    </xf>
    <xf numFmtId="4" fontId="79" fillId="0" borderId="96" xfId="675" applyNumberFormat="1" applyFont="1" applyBorder="1" applyAlignment="1">
      <alignment horizontal="right" vertical="top" wrapText="1"/>
    </xf>
    <xf numFmtId="4" fontId="79" fillId="0" borderId="95" xfId="675" applyNumberFormat="1" applyFont="1" applyBorder="1" applyAlignment="1">
      <alignment horizontal="right" vertical="top"/>
    </xf>
    <xf numFmtId="0" fontId="79" fillId="0" borderId="95" xfId="675" applyFont="1" applyBorder="1" applyAlignment="1">
      <alignment horizontal="right" vertical="top"/>
    </xf>
    <xf numFmtId="0" fontId="79" fillId="0" borderId="93" xfId="675" applyFont="1" applyBorder="1" applyAlignment="1">
      <alignment horizontal="left" vertical="top" wrapText="1"/>
    </xf>
    <xf numFmtId="0" fontId="79" fillId="0" borderId="94" xfId="675" applyFont="1" applyBorder="1" applyAlignment="1">
      <alignment horizontal="center" vertical="center" wrapText="1"/>
    </xf>
    <xf numFmtId="4" fontId="79" fillId="0" borderId="85" xfId="675" applyNumberFormat="1" applyFont="1" applyBorder="1" applyAlignment="1">
      <alignment horizontal="right" vertical="top" wrapText="1"/>
    </xf>
    <xf numFmtId="0" fontId="79" fillId="0" borderId="96" xfId="675" applyFont="1" applyBorder="1" applyAlignment="1">
      <alignment horizontal="right" vertical="top" wrapText="1"/>
    </xf>
    <xf numFmtId="2" fontId="79" fillId="0" borderId="85" xfId="675" applyNumberFormat="1" applyFont="1" applyBorder="1" applyAlignment="1">
      <alignment horizontal="right" vertical="top" wrapText="1"/>
    </xf>
    <xf numFmtId="0" fontId="111" fillId="0" borderId="79" xfId="675" applyFont="1" applyBorder="1" applyAlignment="1">
      <alignment horizontal="center" vertical="center" wrapText="1"/>
    </xf>
    <xf numFmtId="4" fontId="111" fillId="0" borderId="91" xfId="675" applyNumberFormat="1" applyFont="1" applyBorder="1" applyAlignment="1">
      <alignment horizontal="right" vertical="top" wrapText="1"/>
    </xf>
    <xf numFmtId="168" fontId="111" fillId="0" borderId="92" xfId="675" applyNumberFormat="1" applyFont="1" applyBorder="1" applyAlignment="1">
      <alignment horizontal="right" vertical="top"/>
    </xf>
    <xf numFmtId="4" fontId="111" fillId="0" borderId="92" xfId="675" applyNumberFormat="1" applyFont="1" applyBorder="1" applyAlignment="1">
      <alignment horizontal="right" vertical="top"/>
    </xf>
    <xf numFmtId="2" fontId="79" fillId="0" borderId="95" xfId="675" applyNumberFormat="1" applyFont="1" applyBorder="1" applyAlignment="1">
      <alignment horizontal="right" vertical="top"/>
    </xf>
    <xf numFmtId="0" fontId="79" fillId="0" borderId="93" xfId="675" applyFont="1" applyBorder="1" applyAlignment="1">
      <alignment vertical="top" wrapText="1"/>
    </xf>
    <xf numFmtId="0" fontId="79" fillId="0" borderId="85" xfId="675" applyFont="1" applyBorder="1" applyAlignment="1">
      <alignment horizontal="right" vertical="top" wrapText="1"/>
    </xf>
    <xf numFmtId="0" fontId="79" fillId="0" borderId="101" xfId="675" applyFont="1" applyBorder="1" applyAlignment="1">
      <alignment vertical="top" wrapText="1"/>
    </xf>
    <xf numFmtId="4" fontId="111" fillId="0" borderId="99" xfId="675" applyNumberFormat="1" applyFont="1" applyBorder="1" applyAlignment="1">
      <alignment horizontal="right" vertical="top"/>
    </xf>
    <xf numFmtId="4" fontId="111" fillId="0" borderId="98" xfId="675" applyNumberFormat="1" applyFont="1" applyBorder="1" applyAlignment="1">
      <alignment horizontal="right" vertical="top" wrapText="1"/>
    </xf>
    <xf numFmtId="0" fontId="111" fillId="0" borderId="97" xfId="675" applyFont="1" applyBorder="1" applyAlignment="1">
      <alignment horizontal="left"/>
    </xf>
    <xf numFmtId="4" fontId="110" fillId="0" borderId="87" xfId="675" applyNumberFormat="1" applyFont="1" applyBorder="1" applyAlignment="1">
      <alignment horizontal="right" vertical="top" wrapText="1"/>
    </xf>
    <xf numFmtId="0" fontId="61" fillId="0" borderId="0" xfId="675" applyAlignment="1">
      <alignment horizontal="right"/>
    </xf>
    <xf numFmtId="0" fontId="110" fillId="0" borderId="0" xfId="675" applyFont="1" applyAlignment="1">
      <alignment horizontal="center"/>
    </xf>
    <xf numFmtId="0" fontId="110" fillId="0" borderId="79" xfId="675" applyFont="1" applyBorder="1" applyAlignment="1">
      <alignment horizontal="center" vertical="center" wrapText="1"/>
    </xf>
    <xf numFmtId="4" fontId="110" fillId="0" borderId="91" xfId="675" applyNumberFormat="1" applyFont="1" applyBorder="1" applyAlignment="1">
      <alignment horizontal="right" vertical="top" wrapText="1"/>
    </xf>
    <xf numFmtId="4" fontId="110" fillId="0" borderId="92" xfId="675" applyNumberFormat="1" applyFont="1" applyBorder="1" applyAlignment="1">
      <alignment horizontal="right" vertical="top"/>
    </xf>
    <xf numFmtId="0" fontId="110" fillId="0" borderId="92" xfId="675" applyFont="1" applyBorder="1" applyAlignment="1">
      <alignment horizontal="right" vertical="top"/>
    </xf>
    <xf numFmtId="0" fontId="6" fillId="0" borderId="0" xfId="675" applyFont="1" applyAlignment="1">
      <alignment horizontal="right"/>
    </xf>
    <xf numFmtId="0" fontId="112" fillId="75" borderId="0" xfId="675" applyFont="1" applyFill="1" applyBorder="1" applyAlignment="1">
      <alignment horizontal="center"/>
    </xf>
    <xf numFmtId="4" fontId="61" fillId="0" borderId="95" xfId="675" applyNumberFormat="1" applyBorder="1" applyAlignment="1">
      <alignment horizontal="right" vertical="top"/>
    </xf>
    <xf numFmtId="0" fontId="61" fillId="0" borderId="95" xfId="675" applyBorder="1" applyAlignment="1">
      <alignment horizontal="right" vertical="top"/>
    </xf>
    <xf numFmtId="0" fontId="61" fillId="0" borderId="96" xfId="675" applyBorder="1" applyAlignment="1">
      <alignment horizontal="right" vertical="top" wrapText="1"/>
    </xf>
    <xf numFmtId="0" fontId="61" fillId="0" borderId="94" xfId="675" applyBorder="1" applyAlignment="1">
      <alignment horizontal="center" vertical="center" wrapText="1"/>
    </xf>
    <xf numFmtId="4" fontId="61" fillId="0" borderId="85" xfId="675" applyNumberFormat="1" applyBorder="1" applyAlignment="1">
      <alignment horizontal="right" vertical="top" wrapText="1"/>
    </xf>
    <xf numFmtId="0" fontId="110" fillId="0" borderId="88" xfId="675" applyFont="1" applyBorder="1" applyAlignment="1">
      <alignment horizontal="center" vertical="top" wrapText="1"/>
    </xf>
    <xf numFmtId="0" fontId="110" fillId="0" borderId="91" xfId="675" applyFont="1" applyBorder="1" applyAlignment="1">
      <alignment horizontal="right" vertical="top" wrapText="1"/>
    </xf>
    <xf numFmtId="2" fontId="61" fillId="0" borderId="85" xfId="675" applyNumberFormat="1" applyBorder="1" applyAlignment="1">
      <alignment horizontal="right" vertical="top" wrapText="1"/>
    </xf>
    <xf numFmtId="2" fontId="61" fillId="0" borderId="95" xfId="675" applyNumberFormat="1" applyBorder="1" applyAlignment="1">
      <alignment horizontal="right" vertical="top"/>
    </xf>
    <xf numFmtId="0" fontId="61" fillId="0" borderId="93" xfId="675" applyBorder="1" applyAlignment="1">
      <alignment horizontal="right" vertical="top" wrapText="1"/>
    </xf>
    <xf numFmtId="0" fontId="110" fillId="0" borderId="87" xfId="675" applyFont="1" applyBorder="1" applyAlignment="1">
      <alignment horizontal="right" vertical="top" wrapText="1"/>
    </xf>
    <xf numFmtId="4" fontId="110" fillId="0" borderId="99" xfId="675" applyNumberFormat="1" applyFont="1" applyBorder="1" applyAlignment="1">
      <alignment horizontal="right" vertical="top"/>
    </xf>
    <xf numFmtId="0" fontId="110" fillId="0" borderId="99" xfId="675" applyFont="1" applyBorder="1" applyAlignment="1">
      <alignment horizontal="right" vertical="top"/>
    </xf>
    <xf numFmtId="0" fontId="110" fillId="0" borderId="98" xfId="675" applyFont="1" applyBorder="1" applyAlignment="1">
      <alignment horizontal="right" vertical="top" wrapText="1"/>
    </xf>
    <xf numFmtId="0" fontId="110" fillId="0" borderId="97" xfId="675" applyFont="1" applyBorder="1" applyAlignment="1">
      <alignment horizontal="left"/>
    </xf>
    <xf numFmtId="4" fontId="110" fillId="0" borderId="98" xfId="675" applyNumberFormat="1" applyFont="1" applyBorder="1" applyAlignment="1">
      <alignment horizontal="right" vertical="top" wrapText="1"/>
    </xf>
    <xf numFmtId="0" fontId="110" fillId="0" borderId="102" xfId="675" applyFont="1" applyBorder="1" applyAlignment="1">
      <alignment horizontal="right" vertical="top" wrapText="1"/>
    </xf>
    <xf numFmtId="0" fontId="110" fillId="0" borderId="100" xfId="675" applyFont="1" applyBorder="1" applyAlignment="1">
      <alignment horizontal="right" vertical="top" wrapText="1"/>
    </xf>
    <xf numFmtId="0" fontId="110" fillId="0" borderId="103" xfId="675" applyFont="1" applyBorder="1" applyAlignment="1">
      <alignment horizontal="right" vertical="top" wrapText="1"/>
    </xf>
    <xf numFmtId="0" fontId="61" fillId="75" borderId="0" xfId="675" applyFont="1" applyFill="1" applyAlignment="1">
      <alignment horizontal="left"/>
    </xf>
    <xf numFmtId="0" fontId="61" fillId="75" borderId="91" xfId="675" applyFont="1" applyFill="1" applyBorder="1" applyAlignment="1">
      <alignment horizontal="center"/>
    </xf>
    <xf numFmtId="0" fontId="110" fillId="0" borderId="100" xfId="675" applyFont="1" applyBorder="1" applyAlignment="1">
      <alignment horizontal="center" vertical="top" wrapText="1"/>
    </xf>
    <xf numFmtId="0" fontId="110" fillId="0" borderId="103" xfId="675" applyFont="1" applyBorder="1" applyAlignment="1">
      <alignment horizontal="center" vertical="top" wrapText="1"/>
    </xf>
    <xf numFmtId="4" fontId="110" fillId="0" borderId="102" xfId="675" applyNumberFormat="1" applyFont="1" applyBorder="1" applyAlignment="1">
      <alignment horizontal="right" vertical="top" wrapText="1"/>
    </xf>
    <xf numFmtId="4" fontId="110" fillId="0" borderId="100" xfId="675" applyNumberFormat="1" applyFont="1" applyBorder="1" applyAlignment="1">
      <alignment horizontal="right" vertical="top" wrapText="1"/>
    </xf>
    <xf numFmtId="4" fontId="110" fillId="0" borderId="103" xfId="675" applyNumberFormat="1" applyFont="1" applyBorder="1" applyAlignment="1">
      <alignment horizontal="right" vertical="top" wrapText="1"/>
    </xf>
    <xf numFmtId="0" fontId="110" fillId="0" borderId="102" xfId="675" applyFont="1" applyBorder="1" applyAlignment="1">
      <alignment horizontal="right" vertical="top"/>
    </xf>
    <xf numFmtId="0" fontId="110" fillId="0" borderId="100" xfId="675" applyFont="1" applyBorder="1" applyAlignment="1">
      <alignment horizontal="right" vertical="top"/>
    </xf>
    <xf numFmtId="0" fontId="110" fillId="0" borderId="103" xfId="675" applyFont="1" applyBorder="1" applyAlignment="1">
      <alignment horizontal="right" vertical="top"/>
    </xf>
    <xf numFmtId="4" fontId="110" fillId="0" borderId="102" xfId="675" applyNumberFormat="1" applyFont="1" applyBorder="1" applyAlignment="1">
      <alignment horizontal="right" vertical="top"/>
    </xf>
    <xf numFmtId="4" fontId="110" fillId="0" borderId="100" xfId="675" applyNumberFormat="1" applyFont="1" applyBorder="1" applyAlignment="1">
      <alignment horizontal="right" vertical="top"/>
    </xf>
    <xf numFmtId="4" fontId="110" fillId="0" borderId="103" xfId="675" applyNumberFormat="1" applyFont="1" applyBorder="1" applyAlignment="1">
      <alignment horizontal="right" vertical="top"/>
    </xf>
    <xf numFmtId="0" fontId="5" fillId="3" borderId="76" xfId="673" applyFont="1" applyFill="1" applyBorder="1" applyAlignment="1">
      <alignment horizontal="center" vertical="center" wrapText="1"/>
    </xf>
    <xf numFmtId="0" fontId="5" fillId="3" borderId="78" xfId="673" applyFont="1" applyFill="1" applyBorder="1" applyAlignment="1">
      <alignment horizontal="center" vertical="center" wrapText="1"/>
    </xf>
    <xf numFmtId="0" fontId="5" fillId="3" borderId="77" xfId="673" applyFont="1" applyFill="1" applyBorder="1" applyAlignment="1">
      <alignment horizontal="center" vertical="center" wrapText="1"/>
    </xf>
    <xf numFmtId="168" fontId="5" fillId="3" borderId="76" xfId="673" applyNumberFormat="1" applyFont="1" applyFill="1" applyBorder="1" applyAlignment="1">
      <alignment horizontal="center" vertical="center" wrapText="1"/>
    </xf>
    <xf numFmtId="168" fontId="5" fillId="3" borderId="77" xfId="673" applyNumberFormat="1" applyFont="1" applyFill="1" applyBorder="1" applyAlignment="1">
      <alignment horizontal="center" vertical="center" wrapText="1"/>
    </xf>
    <xf numFmtId="168" fontId="5" fillId="3" borderId="78" xfId="673" applyNumberFormat="1" applyFont="1" applyFill="1" applyBorder="1" applyAlignment="1">
      <alignment horizontal="center" vertical="center" wrapText="1"/>
    </xf>
    <xf numFmtId="0" fontId="71" fillId="3" borderId="0" xfId="673" applyFont="1" applyFill="1" applyAlignment="1">
      <alignment horizontal="right" wrapText="1"/>
    </xf>
    <xf numFmtId="0" fontId="68" fillId="3" borderId="0" xfId="673" applyFont="1" applyFill="1" applyAlignment="1">
      <alignment horizontal="right"/>
    </xf>
    <xf numFmtId="0" fontId="80" fillId="3" borderId="0" xfId="673" applyFont="1" applyFill="1" applyAlignment="1">
      <alignment horizontal="center"/>
    </xf>
    <xf numFmtId="0" fontId="80" fillId="3" borderId="0" xfId="673" applyFont="1" applyFill="1" applyAlignment="1">
      <alignment horizontal="center" wrapText="1"/>
    </xf>
    <xf numFmtId="0" fontId="68" fillId="3" borderId="0" xfId="673" applyFont="1" applyFill="1" applyBorder="1" applyAlignment="1">
      <alignment horizontal="right"/>
    </xf>
    <xf numFmtId="0" fontId="16" fillId="3" borderId="79" xfId="673" applyFont="1" applyFill="1" applyBorder="1" applyAlignment="1">
      <alignment horizontal="center" vertical="top" wrapText="1"/>
    </xf>
    <xf numFmtId="0" fontId="5" fillId="3" borderId="79" xfId="673" applyFont="1" applyFill="1" applyBorder="1" applyAlignment="1">
      <alignment horizontal="center" vertical="center" wrapText="1"/>
    </xf>
    <xf numFmtId="0" fontId="114" fillId="0" borderId="76" xfId="669" applyFont="1" applyFill="1" applyBorder="1" applyAlignment="1">
      <alignment horizontal="center" vertical="center" wrapText="1"/>
    </xf>
    <xf numFmtId="0" fontId="114" fillId="0" borderId="78" xfId="669" applyFont="1" applyFill="1" applyBorder="1" applyAlignment="1">
      <alignment horizontal="center" vertical="center" wrapText="1"/>
    </xf>
    <xf numFmtId="0" fontId="114" fillId="0" borderId="77" xfId="669" applyFont="1" applyFill="1" applyBorder="1" applyAlignment="1">
      <alignment horizontal="center" vertical="center" wrapText="1"/>
    </xf>
    <xf numFmtId="0" fontId="71" fillId="0" borderId="0" xfId="669" applyFont="1" applyAlignment="1">
      <alignment horizontal="right"/>
    </xf>
    <xf numFmtId="0" fontId="113" fillId="0" borderId="0" xfId="669" applyFont="1" applyAlignment="1">
      <alignment horizontal="center"/>
    </xf>
    <xf numFmtId="0" fontId="113" fillId="0" borderId="0" xfId="669" applyFont="1" applyAlignment="1">
      <alignment horizontal="center" vertical="center" wrapText="1"/>
    </xf>
    <xf numFmtId="49" fontId="81" fillId="0" borderId="104" xfId="388" applyNumberFormat="1" applyFont="1" applyFill="1" applyBorder="1" applyAlignment="1">
      <alignment horizontal="center" vertical="center" wrapText="1"/>
    </xf>
    <xf numFmtId="49" fontId="106" fillId="0" borderId="105" xfId="388" applyNumberFormat="1" applyFont="1" applyFill="1" applyBorder="1" applyAlignment="1">
      <alignment horizontal="center" vertical="center"/>
    </xf>
    <xf numFmtId="172" fontId="102" fillId="2" borderId="104" xfId="388" applyNumberFormat="1" applyFont="1" applyFill="1" applyBorder="1" applyAlignment="1">
      <alignment horizontal="justify" vertical="center" wrapText="1"/>
    </xf>
    <xf numFmtId="172" fontId="85" fillId="74" borderId="104" xfId="388" applyNumberFormat="1" applyFont="1" applyFill="1" applyBorder="1" applyAlignment="1">
      <alignment horizontal="justify" vertical="center" wrapText="1"/>
    </xf>
    <xf numFmtId="172" fontId="102" fillId="0" borderId="104" xfId="388" applyNumberFormat="1" applyFont="1" applyFill="1" applyBorder="1" applyAlignment="1">
      <alignment horizontal="justify" vertical="center" wrapText="1"/>
    </xf>
    <xf numFmtId="172" fontId="85" fillId="0" borderId="104" xfId="388" applyNumberFormat="1" applyFont="1" applyFill="1" applyBorder="1" applyAlignment="1">
      <alignment horizontal="justify" vertical="center" wrapText="1"/>
    </xf>
    <xf numFmtId="172" fontId="85" fillId="0" borderId="106" xfId="388" applyNumberFormat="1" applyFont="1" applyFill="1" applyBorder="1" applyAlignment="1">
      <alignment horizontal="justify" vertical="center" wrapText="1"/>
    </xf>
    <xf numFmtId="172" fontId="91" fillId="0" borderId="104" xfId="388" applyNumberFormat="1" applyFont="1" applyFill="1" applyBorder="1" applyAlignment="1">
      <alignment horizontal="justify" vertical="center" wrapText="1"/>
    </xf>
    <xf numFmtId="172" fontId="84" fillId="0" borderId="104" xfId="388" applyNumberFormat="1" applyFont="1" applyFill="1" applyBorder="1" applyAlignment="1">
      <alignment horizontal="justify" vertical="center" wrapText="1"/>
    </xf>
    <xf numFmtId="172" fontId="108" fillId="0" borderId="104" xfId="388" applyNumberFormat="1" applyFont="1" applyFill="1" applyBorder="1" applyAlignment="1">
      <alignment horizontal="justify" vertical="center" wrapText="1"/>
    </xf>
    <xf numFmtId="172" fontId="80" fillId="0" borderId="104" xfId="388" applyNumberFormat="1" applyFont="1" applyFill="1" applyBorder="1" applyAlignment="1">
      <alignment horizontal="justify" vertical="center" wrapText="1"/>
    </xf>
    <xf numFmtId="172" fontId="102" fillId="5" borderId="104" xfId="388" applyNumberFormat="1" applyFont="1" applyFill="1" applyBorder="1" applyAlignment="1">
      <alignment horizontal="justify" vertical="center" wrapText="1"/>
    </xf>
    <xf numFmtId="0" fontId="15" fillId="0" borderId="104" xfId="0" applyFont="1" applyBorder="1" applyAlignment="1">
      <alignment wrapText="1"/>
    </xf>
    <xf numFmtId="172" fontId="80" fillId="3" borderId="104" xfId="0" applyNumberFormat="1" applyFont="1" applyFill="1" applyBorder="1" applyAlignment="1">
      <alignment horizontal="justify" vertical="center" wrapText="1"/>
    </xf>
    <xf numFmtId="172" fontId="16" fillId="3" borderId="104" xfId="0" applyNumberFormat="1" applyFont="1" applyFill="1" applyBorder="1" applyAlignment="1">
      <alignment horizontal="justify" vertical="center" wrapText="1"/>
    </xf>
    <xf numFmtId="0" fontId="109" fillId="3" borderId="104" xfId="0" applyFont="1" applyFill="1" applyBorder="1" applyAlignment="1">
      <alignment vertical="center" wrapText="1"/>
    </xf>
    <xf numFmtId="0" fontId="15" fillId="3" borderId="104" xfId="0" applyFont="1" applyFill="1" applyBorder="1" applyAlignment="1">
      <alignment vertical="center" wrapText="1"/>
    </xf>
    <xf numFmtId="0" fontId="109" fillId="3" borderId="106" xfId="0" applyFont="1" applyFill="1" applyBorder="1" applyAlignment="1">
      <alignment vertical="center" wrapText="1"/>
    </xf>
    <xf numFmtId="0" fontId="109" fillId="3" borderId="104" xfId="0" applyFont="1" applyFill="1" applyBorder="1" applyAlignment="1">
      <alignment wrapText="1"/>
    </xf>
    <xf numFmtId="0" fontId="15" fillId="3" borderId="104" xfId="0" applyFont="1" applyFill="1" applyBorder="1" applyAlignment="1">
      <alignment wrapText="1"/>
    </xf>
    <xf numFmtId="172" fontId="85" fillId="3" borderId="104" xfId="0" applyNumberFormat="1" applyFont="1" applyFill="1" applyBorder="1" applyAlignment="1">
      <alignment horizontal="justify" vertical="center" wrapText="1"/>
    </xf>
    <xf numFmtId="172" fontId="103" fillId="3" borderId="104" xfId="0" applyNumberFormat="1" applyFont="1" applyFill="1" applyBorder="1" applyAlignment="1">
      <alignment horizontal="justify" vertical="center" wrapText="1"/>
    </xf>
    <xf numFmtId="172" fontId="85" fillId="74" borderId="104" xfId="388" applyNumberFormat="1" applyFont="1" applyFill="1" applyBorder="1" applyAlignment="1">
      <alignment vertical="justify" wrapText="1"/>
    </xf>
    <xf numFmtId="172" fontId="80" fillId="3" borderId="104" xfId="388" applyNumberFormat="1" applyFont="1" applyFill="1" applyBorder="1" applyAlignment="1">
      <alignment vertical="justify" wrapText="1"/>
    </xf>
    <xf numFmtId="172" fontId="85" fillId="3" borderId="104" xfId="388" applyNumberFormat="1" applyFont="1" applyFill="1" applyBorder="1" applyAlignment="1">
      <alignment horizontal="justify" vertical="center" wrapText="1"/>
    </xf>
    <xf numFmtId="172" fontId="85" fillId="74" borderId="104" xfId="0" applyNumberFormat="1" applyFont="1" applyFill="1" applyBorder="1" applyAlignment="1">
      <alignment horizontal="justify" vertical="center" wrapText="1"/>
    </xf>
    <xf numFmtId="172" fontId="70" fillId="3" borderId="104" xfId="0" applyNumberFormat="1" applyFont="1" applyFill="1" applyBorder="1" applyAlignment="1">
      <alignment horizontal="justify" vertical="center" wrapText="1"/>
    </xf>
    <xf numFmtId="172" fontId="102" fillId="5" borderId="106" xfId="388" applyNumberFormat="1" applyFont="1" applyFill="1" applyBorder="1" applyAlignment="1">
      <alignment horizontal="justify" vertical="center" wrapText="1"/>
    </xf>
    <xf numFmtId="0" fontId="16" fillId="3" borderId="104" xfId="339" applyFont="1" applyFill="1" applyBorder="1" applyAlignment="1">
      <alignment wrapText="1"/>
    </xf>
    <xf numFmtId="172" fontId="80" fillId="3" borderId="104" xfId="388" applyNumberFormat="1" applyFont="1" applyFill="1" applyBorder="1" applyAlignment="1">
      <alignment horizontal="justify" vertical="center" wrapText="1"/>
    </xf>
    <xf numFmtId="49" fontId="106" fillId="0" borderId="79" xfId="388" applyNumberFormat="1" applyFont="1" applyFill="1" applyBorder="1" applyAlignment="1">
      <alignment horizontal="center" vertical="center"/>
    </xf>
    <xf numFmtId="49" fontId="85" fillId="74" borderId="79" xfId="388" applyNumberFormat="1" applyFont="1" applyFill="1" applyBorder="1" applyAlignment="1">
      <alignment horizontal="center" vertical="center" wrapText="1"/>
    </xf>
    <xf numFmtId="49" fontId="102" fillId="0" borderId="79" xfId="388" applyNumberFormat="1" applyFont="1" applyFill="1" applyBorder="1" applyAlignment="1">
      <alignment horizontal="center" vertical="center" wrapText="1"/>
    </xf>
    <xf numFmtId="49" fontId="85" fillId="0" borderId="79" xfId="388" applyNumberFormat="1" applyFont="1" applyFill="1" applyBorder="1" applyAlignment="1">
      <alignment horizontal="center" vertical="center" wrapText="1"/>
    </xf>
    <xf numFmtId="172" fontId="85" fillId="0" borderId="79" xfId="388" applyNumberFormat="1" applyFont="1" applyFill="1" applyBorder="1" applyAlignment="1">
      <alignment horizontal="center" vertical="center" wrapText="1"/>
    </xf>
    <xf numFmtId="49" fontId="91" fillId="0" borderId="79" xfId="388" applyNumberFormat="1" applyFont="1" applyFill="1" applyBorder="1" applyAlignment="1">
      <alignment horizontal="center" vertical="center" wrapText="1"/>
    </xf>
    <xf numFmtId="49" fontId="84" fillId="0" borderId="79" xfId="388" applyNumberFormat="1" applyFont="1" applyFill="1" applyBorder="1" applyAlignment="1">
      <alignment horizontal="center" vertical="center" wrapText="1"/>
    </xf>
    <xf numFmtId="49" fontId="108" fillId="0" borderId="79" xfId="388" applyNumberFormat="1" applyFont="1" applyFill="1" applyBorder="1" applyAlignment="1">
      <alignment horizontal="center" vertical="center" wrapText="1"/>
    </xf>
    <xf numFmtId="49" fontId="80" fillId="0" borderId="79" xfId="388" applyNumberFormat="1" applyFont="1" applyFill="1" applyBorder="1" applyAlignment="1">
      <alignment horizontal="center" vertical="center" wrapText="1"/>
    </xf>
    <xf numFmtId="49" fontId="102" fillId="2" borderId="79" xfId="388" applyNumberFormat="1" applyFont="1" applyFill="1" applyBorder="1" applyAlignment="1">
      <alignment horizontal="center" vertical="center" wrapText="1"/>
    </xf>
    <xf numFmtId="49" fontId="102" fillId="5" borderId="79" xfId="388" applyNumberFormat="1" applyFont="1" applyFill="1" applyBorder="1" applyAlignment="1">
      <alignment horizontal="center" vertical="center" wrapText="1"/>
    </xf>
    <xf numFmtId="49" fontId="85" fillId="74" borderId="79" xfId="0" applyNumberFormat="1" applyFont="1" applyFill="1" applyBorder="1" applyAlignment="1">
      <alignment horizontal="center" vertical="center" wrapText="1"/>
    </xf>
    <xf numFmtId="0" fontId="109" fillId="3" borderId="79" xfId="0" applyFont="1" applyFill="1" applyBorder="1" applyAlignment="1">
      <alignment horizontal="center" vertical="center" wrapText="1"/>
    </xf>
    <xf numFmtId="0" fontId="92" fillId="3" borderId="79" xfId="0" applyFont="1" applyFill="1" applyBorder="1" applyAlignment="1">
      <alignment horizontal="center" vertical="center" wrapText="1"/>
    </xf>
    <xf numFmtId="49" fontId="80" fillId="3" borderId="79" xfId="0" applyNumberFormat="1" applyFont="1" applyFill="1" applyBorder="1" applyAlignment="1">
      <alignment horizontal="center" vertical="center" wrapText="1"/>
    </xf>
    <xf numFmtId="49" fontId="85" fillId="3" borderId="79" xfId="0" applyNumberFormat="1" applyFont="1" applyFill="1" applyBorder="1" applyAlignment="1">
      <alignment horizontal="center" vertical="center" wrapText="1"/>
    </xf>
    <xf numFmtId="49" fontId="85" fillId="3" borderId="79" xfId="388" applyNumberFormat="1" applyFont="1" applyFill="1" applyBorder="1" applyAlignment="1">
      <alignment horizontal="center" vertical="center" wrapText="1"/>
    </xf>
    <xf numFmtId="49" fontId="80" fillId="3" borderId="79" xfId="388" applyNumberFormat="1" applyFont="1" applyFill="1" applyBorder="1" applyAlignment="1">
      <alignment horizontal="center" vertical="center" wrapText="1"/>
    </xf>
    <xf numFmtId="49" fontId="102" fillId="3" borderId="79" xfId="388" applyNumberFormat="1" applyFont="1" applyFill="1" applyBorder="1" applyAlignment="1">
      <alignment horizontal="center" vertical="center" wrapText="1"/>
    </xf>
    <xf numFmtId="49" fontId="102" fillId="3" borderId="79" xfId="0" applyNumberFormat="1" applyFont="1" applyFill="1" applyBorder="1" applyAlignment="1">
      <alignment horizontal="center" vertical="center" wrapText="1"/>
    </xf>
    <xf numFmtId="0" fontId="91" fillId="3" borderId="79" xfId="339" applyFont="1" applyFill="1" applyBorder="1" applyAlignment="1">
      <alignment vertical="center"/>
    </xf>
    <xf numFmtId="0" fontId="59" fillId="0" borderId="79" xfId="388" applyBorder="1"/>
    <xf numFmtId="0" fontId="91" fillId="0" borderId="40" xfId="0" applyFont="1" applyFill="1" applyBorder="1" applyAlignment="1">
      <alignment horizontal="center" vertical="center" wrapText="1"/>
    </xf>
    <xf numFmtId="0" fontId="91" fillId="3" borderId="40" xfId="0" applyFont="1" applyFill="1" applyBorder="1" applyAlignment="1">
      <alignment horizontal="center" vertical="center" wrapText="1"/>
    </xf>
  </cellXfs>
  <cellStyles count="67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 3" xfId="665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2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" xfId="666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19 6" xfId="66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2 5" xfId="668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3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2 5" xfId="669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0 6" xfId="670"/>
    <cellStyle name="Обычный 20 6 2" xfId="671"/>
    <cellStyle name="Обычный 20 7" xfId="672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1 6" xfId="673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561"/>
    <cellStyle name="Обычный 30" xfId="562"/>
    <cellStyle name="Обычный 30 2" xfId="563"/>
    <cellStyle name="Обычный 31" xfId="564"/>
    <cellStyle name="Обычный 32" xfId="565"/>
    <cellStyle name="Обычный 33" xfId="674"/>
    <cellStyle name="Обычный 34" xfId="675"/>
    <cellStyle name="Обычный 4" xfId="566"/>
    <cellStyle name="Обычный 4 2" xfId="567"/>
    <cellStyle name="Обычный 4 3" xfId="568"/>
    <cellStyle name="Обычный 4 3 2" xfId="569"/>
    <cellStyle name="Обычный 4 3 2 2" xfId="570"/>
    <cellStyle name="Обычный 4 3 2 2 2" xfId="571"/>
    <cellStyle name="Обычный 4 3 2 2 2 2" xfId="572"/>
    <cellStyle name="Обычный 4 3 2 2 2 2 2" xfId="573"/>
    <cellStyle name="Обычный 4 3 2 2 2 2 2 2" xfId="574"/>
    <cellStyle name="Обычный 4 3 2 2 2 2 3" xfId="575"/>
    <cellStyle name="Обычный 4 3 2 2 2 3" xfId="576"/>
    <cellStyle name="Обычный 4 3 2 2 2 3 2" xfId="577"/>
    <cellStyle name="Обычный 4 3 2 2 2 4" xfId="578"/>
    <cellStyle name="Обычный 4 3 2 2 3" xfId="579"/>
    <cellStyle name="Обычный 4 3 2 2 3 2" xfId="580"/>
    <cellStyle name="Обычный 4 3 2 2 3 2 2" xfId="581"/>
    <cellStyle name="Обычный 4 3 2 2 3 3" xfId="582"/>
    <cellStyle name="Обычный 4 3 2 2 4" xfId="583"/>
    <cellStyle name="Обычный 4 3 2 2 4 2" xfId="584"/>
    <cellStyle name="Обычный 4 3 2 2 5" xfId="585"/>
    <cellStyle name="Обычный 4 3 2 2 5 2" xfId="586"/>
    <cellStyle name="Обычный 4 3 2 2 6" xfId="587"/>
    <cellStyle name="Обычный 4 3 2 3" xfId="588"/>
    <cellStyle name="Обычный 4 3 2 3 2" xfId="589"/>
    <cellStyle name="Обычный 4 3 2 3 2 2" xfId="590"/>
    <cellStyle name="Обычный 4 3 2 3 2 2 2" xfId="591"/>
    <cellStyle name="Обычный 4 3 2 3 2 3" xfId="592"/>
    <cellStyle name="Обычный 4 3 2 3 3" xfId="593"/>
    <cellStyle name="Обычный 4 3 2 3 3 2" xfId="594"/>
    <cellStyle name="Обычный 4 3 2 3 4" xfId="595"/>
    <cellStyle name="Обычный 4 3 2 4" xfId="596"/>
    <cellStyle name="Обычный 4 3 2 4 2" xfId="597"/>
    <cellStyle name="Обычный 4 3 2 4 2 2" xfId="598"/>
    <cellStyle name="Обычный 4 3 2 4 3" xfId="599"/>
    <cellStyle name="Обычный 4 3 2 5" xfId="600"/>
    <cellStyle name="Обычный 4 3 2 5 2" xfId="601"/>
    <cellStyle name="Обычный 4 3 2 6" xfId="602"/>
    <cellStyle name="Обычный 4 3 3" xfId="603"/>
    <cellStyle name="Обычный 4 3 3 2" xfId="604"/>
    <cellStyle name="Обычный 4 3 3 2 2" xfId="605"/>
    <cellStyle name="Обычный 4 3 3 2 2 2" xfId="606"/>
    <cellStyle name="Обычный 4 3 3 2 3" xfId="607"/>
    <cellStyle name="Обычный 4 3 3 3" xfId="608"/>
    <cellStyle name="Обычный 4 3 3 3 2" xfId="609"/>
    <cellStyle name="Обычный 4 3 3 4" xfId="610"/>
    <cellStyle name="Обычный 4 3 4" xfId="611"/>
    <cellStyle name="Обычный 4 3 4 2" xfId="612"/>
    <cellStyle name="Обычный 4 3 4 2 2" xfId="613"/>
    <cellStyle name="Обычный 4 3 4 3" xfId="614"/>
    <cellStyle name="Обычный 4 3 5" xfId="615"/>
    <cellStyle name="Обычный 4 3 5 2" xfId="616"/>
    <cellStyle name="Обычный 4 3 6" xfId="617"/>
    <cellStyle name="Обычный 5" xfId="618"/>
    <cellStyle name="Обычный 5 2" xfId="619"/>
    <cellStyle name="Обычный 5 3" xfId="676"/>
    <cellStyle name="Обычный 6" xfId="620"/>
    <cellStyle name="Обычный 7" xfId="621"/>
    <cellStyle name="Обычный 7 2" xfId="622"/>
    <cellStyle name="Обычный 7 2 2" xfId="623"/>
    <cellStyle name="Обычный 7 2 2 2" xfId="624"/>
    <cellStyle name="Обычный 7 2 2 2 2" xfId="625"/>
    <cellStyle name="Обычный 7 2 2 2 2 2" xfId="626"/>
    <cellStyle name="Обычный 7 2 2 2 3" xfId="627"/>
    <cellStyle name="Обычный 7 2 2 3" xfId="628"/>
    <cellStyle name="Обычный 7 2 2 3 2" xfId="629"/>
    <cellStyle name="Обычный 7 2 2 4" xfId="630"/>
    <cellStyle name="Обычный 7 2 3" xfId="631"/>
    <cellStyle name="Обычный 7 2 3 2" xfId="632"/>
    <cellStyle name="Обычный 7 2 3 2 2" xfId="633"/>
    <cellStyle name="Обычный 7 2 3 3" xfId="634"/>
    <cellStyle name="Обычный 7 2 4" xfId="635"/>
    <cellStyle name="Обычный 7 2 4 2" xfId="636"/>
    <cellStyle name="Обычный 7 2 5" xfId="637"/>
    <cellStyle name="Обычный 7 3" xfId="638"/>
    <cellStyle name="Обычный 8" xfId="639"/>
    <cellStyle name="Обычный 8 2" xfId="640"/>
    <cellStyle name="Обычный 9" xfId="641"/>
    <cellStyle name="Обычный 9 2" xfId="642"/>
    <cellStyle name="Обычный_Лист2 2" xfId="664"/>
    <cellStyle name="Обычный_приложения ОФПСиИ по год отчету за 2008 год 2" xfId="677"/>
    <cellStyle name="Плохой 2" xfId="643"/>
    <cellStyle name="Пояснение 2" xfId="644"/>
    <cellStyle name="Примечание 2" xfId="645"/>
    <cellStyle name="Процентный 2" xfId="646"/>
    <cellStyle name="Процентный 2 2" xfId="647"/>
    <cellStyle name="Процентный 3" xfId="648"/>
    <cellStyle name="Процентный 3 2" xfId="649"/>
    <cellStyle name="Процентный 3 3" xfId="650"/>
    <cellStyle name="Процентный 4" xfId="651"/>
    <cellStyle name="Процентный 5" xfId="652"/>
    <cellStyle name="Процентный 6" xfId="653"/>
    <cellStyle name="Связанная ячейка 2" xfId="654"/>
    <cellStyle name="Стиль 1" xfId="655"/>
    <cellStyle name="Текст предупреждения 2" xfId="656"/>
    <cellStyle name="Финансовый 2" xfId="657"/>
    <cellStyle name="Финансовый 3" xfId="658"/>
    <cellStyle name="Финансовый 4" xfId="659"/>
    <cellStyle name="Финансовый 5" xfId="660"/>
    <cellStyle name="Финансовый 5 2" xfId="661"/>
    <cellStyle name="Финансовый 6" xfId="662"/>
    <cellStyle name="Финансовый 7" xfId="678"/>
    <cellStyle name="Хороший 2" xfId="663"/>
  </cellStyles>
  <dxfs count="0"/>
  <tableStyles count="0" defaultTableStyle="TableStyleMedium9" defaultPivotStyle="PivotStyleLight16"/>
  <colors>
    <mruColors>
      <color rgb="FFF0FC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3;&#1080;&#1085;&#1072;/AppData/Roaming/Microsoft/Excel/&#1055;&#1088;&#1080;&#1083;&#1086;&#1078;&#1077;&#1085;&#1080;&#1103;_2021_&#1091;&#1090;&#1086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3;&#1080;&#1085;&#1072;/Desktop/&#1054;&#1057;&#1053;&#1054;&#1042;&#1053;&#1054;&#1045;/&#1043;&#1086;&#1076;&#1086;&#1074;&#1086;&#1081;%20&#1086;&#1090;&#1095;&#1077;&#1090;%20&#1079;&#1072;%202020%20&#1075;&#1086;&#1076;/&#1043;&#1054;&#1044;&#1054;&#1042;&#1054;&#1049;%20&#1054;&#1058;&#1063;&#1045;&#1058;_2020_&#1042;%20&#1044;&#1059;&#1052;&#1059;/&#1074;%20&#1050;&#1057;&#1055;/&#1055;&#1088;&#1080;&#1083;&#1086;&#1078;&#1077;&#1085;&#1080;&#1103;%20(2020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оходы"/>
      <sheetName val="2. Расходы"/>
      <sheetName val="3.Расходы по РзПр"/>
      <sheetName val="4.Приложение по источникам"/>
      <sheetName val="5. Размер и структура мун.долга"/>
      <sheetName val="6. Программа мун.заим."/>
      <sheetName val="7. Программа мун.гарантий"/>
      <sheetName val="справочно по ЦС"/>
      <sheetName val="Выполнение МП"/>
      <sheetName val="Исполнение по ГП"/>
      <sheetName val="Содержание ОМСУ"/>
      <sheetName val="Доходы от использ. имущества"/>
      <sheetName val="Доходы от продажи имущества"/>
      <sheetName val="Дорожный фонд "/>
      <sheetName val="Бюджетные инвестиции"/>
      <sheetName val="Резервный фонд"/>
      <sheetName val="Дебиторская"/>
      <sheetName val="Кредиторская"/>
      <sheetName val="инвест.проекты"/>
    </sheetNames>
    <sheetDataSet>
      <sheetData sheetId="0" refreshError="1"/>
      <sheetData sheetId="1">
        <row r="16">
          <cell r="G16">
            <v>1776.6</v>
          </cell>
        </row>
        <row r="922">
          <cell r="H922">
            <v>0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>
        <row r="10">
          <cell r="E10">
            <v>63348.3</v>
          </cell>
        </row>
      </sheetData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Доходы"/>
      <sheetName val="2.Расходы по вед.структуре"/>
      <sheetName val="3.Расходы по РзПр"/>
      <sheetName val="4.Приложение по источникам"/>
      <sheetName val="5. Размер и структура мун.долга"/>
      <sheetName val="6. Программа мун.заим."/>
      <sheetName val="7. Программа мун.гарантий"/>
      <sheetName val="справочно по Ц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C10" t="str">
            <v>Муниципальная программа "Совершенствование муниципального управления в Юсьвинском муниципальном округе Пермского края"</v>
          </cell>
        </row>
        <row r="525">
          <cell r="C525" t="str">
            <v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01"/>
  <sheetViews>
    <sheetView view="pageBreakPreview" zoomScale="60" workbookViewId="0">
      <selection activeCell="D4" sqref="D4:F4"/>
    </sheetView>
  </sheetViews>
  <sheetFormatPr defaultRowHeight="14.4" x14ac:dyDescent="0.3"/>
  <cols>
    <col min="1" max="1" width="30.88671875" style="745" customWidth="1"/>
    <col min="2" max="2" width="92.33203125" style="745" customWidth="1"/>
    <col min="3" max="3" width="21.88671875" style="807" customWidth="1"/>
    <col min="4" max="4" width="21.44140625" style="807" customWidth="1"/>
    <col min="5" max="5" width="22.6640625" style="807" customWidth="1"/>
    <col min="6" max="6" width="17.44140625" style="810" customWidth="1"/>
    <col min="7" max="7" width="19" customWidth="1"/>
    <col min="8" max="8" width="18.109375" customWidth="1"/>
    <col min="9" max="9" width="11.33203125" customWidth="1"/>
  </cols>
  <sheetData>
    <row r="1" spans="1:8" ht="18" x14ac:dyDescent="0.35">
      <c r="A1" s="741"/>
      <c r="B1" s="742"/>
      <c r="C1" s="743" t="s">
        <v>915</v>
      </c>
      <c r="D1" s="861" t="s">
        <v>1122</v>
      </c>
      <c r="E1" s="861"/>
      <c r="F1" s="861"/>
    </row>
    <row r="2" spans="1:8" ht="18.75" customHeight="1" x14ac:dyDescent="0.3">
      <c r="A2" s="862" t="s">
        <v>887</v>
      </c>
      <c r="B2" s="862"/>
      <c r="C2" s="862"/>
      <c r="D2" s="862"/>
      <c r="E2" s="862"/>
      <c r="F2" s="862"/>
    </row>
    <row r="3" spans="1:8" ht="18.75" customHeight="1" x14ac:dyDescent="0.3">
      <c r="A3" s="863" t="s">
        <v>1123</v>
      </c>
      <c r="B3" s="863"/>
      <c r="C3" s="863"/>
      <c r="D3" s="863"/>
      <c r="E3" s="863"/>
      <c r="F3" s="863"/>
    </row>
    <row r="4" spans="1:8" ht="18.75" customHeight="1" x14ac:dyDescent="0.3">
      <c r="A4" s="741"/>
      <c r="B4" s="741"/>
      <c r="C4" s="741"/>
      <c r="D4" s="863" t="s">
        <v>1564</v>
      </c>
      <c r="E4" s="863"/>
      <c r="F4" s="863"/>
    </row>
    <row r="5" spans="1:8" ht="32.25" customHeight="1" x14ac:dyDescent="0.3">
      <c r="A5" s="864" t="s">
        <v>1124</v>
      </c>
      <c r="B5" s="864"/>
      <c r="C5" s="864"/>
      <c r="D5" s="864"/>
      <c r="E5" s="864"/>
      <c r="F5" s="864"/>
      <c r="G5" s="744"/>
      <c r="H5" s="744"/>
    </row>
    <row r="6" spans="1:8" ht="15.6" x14ac:dyDescent="0.3">
      <c r="C6" s="745"/>
      <c r="D6" s="745"/>
      <c r="E6" s="746"/>
      <c r="F6" s="747" t="s">
        <v>910</v>
      </c>
      <c r="G6" s="748"/>
      <c r="H6" s="695"/>
    </row>
    <row r="7" spans="1:8" ht="37.5" customHeight="1" x14ac:dyDescent="0.3">
      <c r="A7" s="865" t="s">
        <v>1125</v>
      </c>
      <c r="B7" s="1104" t="s">
        <v>1126</v>
      </c>
      <c r="C7" s="866" t="s">
        <v>851</v>
      </c>
      <c r="D7" s="866" t="s">
        <v>852</v>
      </c>
      <c r="E7" s="860" t="s">
        <v>853</v>
      </c>
      <c r="F7" s="860" t="s">
        <v>854</v>
      </c>
      <c r="G7" s="749"/>
      <c r="H7" s="749"/>
    </row>
    <row r="8" spans="1:8" ht="18" x14ac:dyDescent="0.3">
      <c r="A8" s="865"/>
      <c r="B8" s="1104"/>
      <c r="C8" s="867"/>
      <c r="D8" s="867"/>
      <c r="E8" s="860"/>
      <c r="F8" s="860"/>
      <c r="G8" s="750"/>
      <c r="H8" s="750"/>
    </row>
    <row r="9" spans="1:8" ht="15" customHeight="1" x14ac:dyDescent="0.3">
      <c r="A9" s="865"/>
      <c r="B9" s="1104"/>
      <c r="C9" s="868"/>
      <c r="D9" s="868"/>
      <c r="E9" s="860"/>
      <c r="F9" s="860"/>
      <c r="G9" s="750"/>
      <c r="H9" s="750"/>
    </row>
    <row r="10" spans="1:8" ht="15" customHeight="1" x14ac:dyDescent="0.3">
      <c r="A10" s="1134" t="s">
        <v>1025</v>
      </c>
      <c r="B10" s="1105" t="s">
        <v>1127</v>
      </c>
      <c r="C10" s="751">
        <v>3</v>
      </c>
      <c r="D10" s="751">
        <v>3</v>
      </c>
      <c r="E10" s="751">
        <v>4</v>
      </c>
      <c r="F10" s="752">
        <v>5</v>
      </c>
      <c r="G10" s="753"/>
      <c r="H10" s="753"/>
    </row>
    <row r="11" spans="1:8" ht="17.399999999999999" x14ac:dyDescent="0.3">
      <c r="A11" s="754" t="s">
        <v>1128</v>
      </c>
      <c r="B11" s="1106" t="s">
        <v>1129</v>
      </c>
      <c r="C11" s="755">
        <f>C12+C50</f>
        <v>119301.31636</v>
      </c>
      <c r="D11" s="755">
        <f>D12+D50</f>
        <v>119301.31636</v>
      </c>
      <c r="E11" s="756">
        <f>E12+E50</f>
        <v>118910.89327999999</v>
      </c>
      <c r="F11" s="757">
        <f>E11/D11*100</f>
        <v>99.672742018351343</v>
      </c>
      <c r="G11" s="758"/>
      <c r="H11" s="758"/>
    </row>
    <row r="12" spans="1:8" ht="18" x14ac:dyDescent="0.35">
      <c r="A12" s="1135"/>
      <c r="B12" s="1107" t="s">
        <v>1130</v>
      </c>
      <c r="C12" s="759">
        <f>C13+C23+C29+C39+C45</f>
        <v>90483.1</v>
      </c>
      <c r="D12" s="759">
        <f>D13+D23+D29+D39+D45</f>
        <v>90483.1</v>
      </c>
      <c r="E12" s="760">
        <f>E13+E23+E29+E39+E45</f>
        <v>89565.027369999996</v>
      </c>
      <c r="F12" s="761">
        <f>E12/D12*100</f>
        <v>98.985365631814105</v>
      </c>
      <c r="G12" s="762"/>
      <c r="H12" s="762"/>
    </row>
    <row r="13" spans="1:8" ht="17.399999999999999" x14ac:dyDescent="0.3">
      <c r="A13" s="1136" t="s">
        <v>1131</v>
      </c>
      <c r="B13" s="1108" t="s">
        <v>1132</v>
      </c>
      <c r="C13" s="763">
        <f>C14</f>
        <v>50438</v>
      </c>
      <c r="D13" s="763">
        <f>D14</f>
        <v>50438</v>
      </c>
      <c r="E13" s="763">
        <f>E14</f>
        <v>49462.664839999998</v>
      </c>
      <c r="F13" s="764">
        <f>E13/D13*100</f>
        <v>98.066269162139648</v>
      </c>
      <c r="G13" s="765"/>
      <c r="H13" s="765"/>
    </row>
    <row r="14" spans="1:8" ht="18" x14ac:dyDescent="0.35">
      <c r="A14" s="1137" t="s">
        <v>1133</v>
      </c>
      <c r="B14" s="1109" t="s">
        <v>1134</v>
      </c>
      <c r="C14" s="766">
        <f>C15+C16+C17+C18+C20+C19+C21+C22</f>
        <v>50438</v>
      </c>
      <c r="D14" s="766">
        <f t="shared" ref="D14:E14" si="0">D15+D16+D17+D18+D20+D19+D21+D22</f>
        <v>50438</v>
      </c>
      <c r="E14" s="766">
        <f t="shared" si="0"/>
        <v>49462.664839999998</v>
      </c>
      <c r="F14" s="767">
        <f>E14/D14*100</f>
        <v>98.066269162139648</v>
      </c>
      <c r="G14" s="768"/>
      <c r="H14" s="768"/>
    </row>
    <row r="15" spans="1:8" ht="72" x14ac:dyDescent="0.35">
      <c r="A15" s="1137" t="s">
        <v>1135</v>
      </c>
      <c r="B15" s="1109" t="s">
        <v>1136</v>
      </c>
      <c r="C15" s="769">
        <v>43850</v>
      </c>
      <c r="D15" s="769">
        <v>43850</v>
      </c>
      <c r="E15" s="769">
        <v>43016.224119999999</v>
      </c>
      <c r="F15" s="770">
        <f t="shared" ref="F15:F18" si="1">E15/D15*100</f>
        <v>98.098572679589495</v>
      </c>
      <c r="G15" s="768"/>
      <c r="H15" s="768"/>
    </row>
    <row r="16" spans="1:8" ht="108" x14ac:dyDescent="0.35">
      <c r="A16" s="1137" t="s">
        <v>1137</v>
      </c>
      <c r="B16" s="1109" t="s">
        <v>1138</v>
      </c>
      <c r="C16" s="769">
        <v>41</v>
      </c>
      <c r="D16" s="769">
        <v>41</v>
      </c>
      <c r="E16" s="769">
        <v>41.0505</v>
      </c>
      <c r="F16" s="770">
        <f t="shared" si="1"/>
        <v>100.12317073170732</v>
      </c>
      <c r="G16" s="768"/>
      <c r="H16" s="768"/>
    </row>
    <row r="17" spans="1:8" ht="36" x14ac:dyDescent="0.35">
      <c r="A17" s="1137" t="s">
        <v>1139</v>
      </c>
      <c r="B17" s="1109" t="s">
        <v>1140</v>
      </c>
      <c r="C17" s="769">
        <v>548</v>
      </c>
      <c r="D17" s="769">
        <v>548</v>
      </c>
      <c r="E17" s="769">
        <v>560.80139999999994</v>
      </c>
      <c r="F17" s="770">
        <f t="shared" si="1"/>
        <v>102.33602189781021</v>
      </c>
      <c r="G17" s="768"/>
      <c r="H17" s="768"/>
    </row>
    <row r="18" spans="1:8" ht="90" x14ac:dyDescent="0.35">
      <c r="A18" s="1137" t="s">
        <v>1141</v>
      </c>
      <c r="B18" s="1109" t="s">
        <v>1142</v>
      </c>
      <c r="C18" s="769">
        <v>41</v>
      </c>
      <c r="D18" s="769">
        <v>41</v>
      </c>
      <c r="E18" s="769">
        <v>35.5</v>
      </c>
      <c r="F18" s="770">
        <f t="shared" si="1"/>
        <v>86.58536585365853</v>
      </c>
      <c r="G18" s="768"/>
      <c r="H18" s="768"/>
    </row>
    <row r="19" spans="1:8" ht="144" x14ac:dyDescent="0.35">
      <c r="A19" s="1137" t="s">
        <v>1143</v>
      </c>
      <c r="B19" s="1110" t="s">
        <v>1144</v>
      </c>
      <c r="C19" s="769">
        <v>0</v>
      </c>
      <c r="D19" s="769">
        <v>0</v>
      </c>
      <c r="E19" s="769">
        <v>9.1115100000000009</v>
      </c>
      <c r="F19" s="770">
        <v>0</v>
      </c>
      <c r="G19" s="768"/>
      <c r="H19" s="768"/>
    </row>
    <row r="20" spans="1:8" ht="72" x14ac:dyDescent="0.35">
      <c r="A20" s="1137" t="s">
        <v>1145</v>
      </c>
      <c r="B20" s="1109" t="s">
        <v>1146</v>
      </c>
      <c r="C20" s="769">
        <v>8</v>
      </c>
      <c r="D20" s="769">
        <v>8</v>
      </c>
      <c r="E20" s="769">
        <v>16.1448</v>
      </c>
      <c r="F20" s="770">
        <f>E20/C20*100</f>
        <v>201.81</v>
      </c>
      <c r="G20" s="768"/>
      <c r="H20" s="768"/>
    </row>
    <row r="21" spans="1:8" ht="54" x14ac:dyDescent="0.35">
      <c r="A21" s="1137" t="s">
        <v>1147</v>
      </c>
      <c r="B21" s="1110" t="s">
        <v>1148</v>
      </c>
      <c r="C21" s="769">
        <v>5950</v>
      </c>
      <c r="D21" s="769">
        <v>5950</v>
      </c>
      <c r="E21" s="769">
        <v>5782.5474599999998</v>
      </c>
      <c r="F21" s="770">
        <f>E21/C21*100</f>
        <v>97.185671596638656</v>
      </c>
      <c r="G21" s="768"/>
      <c r="H21" s="768"/>
    </row>
    <row r="22" spans="1:8" ht="54" x14ac:dyDescent="0.35">
      <c r="A22" s="1137" t="s">
        <v>1149</v>
      </c>
      <c r="B22" s="1110" t="s">
        <v>1150</v>
      </c>
      <c r="C22" s="769">
        <v>0</v>
      </c>
      <c r="D22" s="769">
        <v>0</v>
      </c>
      <c r="E22" s="769">
        <v>1.28505</v>
      </c>
      <c r="F22" s="770">
        <v>0</v>
      </c>
      <c r="G22" s="768"/>
      <c r="H22" s="768"/>
    </row>
    <row r="23" spans="1:8" ht="34.799999999999997" x14ac:dyDescent="0.3">
      <c r="A23" s="1136" t="s">
        <v>1151</v>
      </c>
      <c r="B23" s="1108" t="s">
        <v>1152</v>
      </c>
      <c r="C23" s="763">
        <f>C24</f>
        <v>24666.799999999999</v>
      </c>
      <c r="D23" s="763">
        <f>D24</f>
        <v>24666.799999999999</v>
      </c>
      <c r="E23" s="771">
        <f t="shared" ref="E23:F23" si="2">E24</f>
        <v>24352.34909</v>
      </c>
      <c r="F23" s="772">
        <f t="shared" si="2"/>
        <v>98.725205904292409</v>
      </c>
      <c r="G23" s="765"/>
      <c r="H23" s="765"/>
    </row>
    <row r="24" spans="1:8" ht="36" x14ac:dyDescent="0.35">
      <c r="A24" s="1137" t="s">
        <v>1153</v>
      </c>
      <c r="B24" s="1109" t="s">
        <v>1154</v>
      </c>
      <c r="C24" s="766">
        <f>C25+C26+C27+C28</f>
        <v>24666.799999999999</v>
      </c>
      <c r="D24" s="766">
        <f>D25+D26+D27+D28</f>
        <v>24666.799999999999</v>
      </c>
      <c r="E24" s="766">
        <f>E25+E26+E27+E28</f>
        <v>24352.34909</v>
      </c>
      <c r="F24" s="773">
        <f>E24/D24*100</f>
        <v>98.725205904292409</v>
      </c>
      <c r="G24" s="768"/>
      <c r="H24" s="768"/>
    </row>
    <row r="25" spans="1:8" ht="108" x14ac:dyDescent="0.35">
      <c r="A25" s="1137" t="s">
        <v>1155</v>
      </c>
      <c r="B25" s="1109" t="s">
        <v>1156</v>
      </c>
      <c r="C25" s="769">
        <v>12901.2</v>
      </c>
      <c r="D25" s="769">
        <v>12901.2</v>
      </c>
      <c r="E25" s="774">
        <v>12353.41951</v>
      </c>
      <c r="F25" s="775">
        <f t="shared" ref="F25:F28" si="3">E25/D25*100</f>
        <v>95.754034585929986</v>
      </c>
      <c r="G25" s="768"/>
      <c r="H25" s="768"/>
    </row>
    <row r="26" spans="1:8" ht="126" x14ac:dyDescent="0.35">
      <c r="A26" s="1137" t="s">
        <v>1157</v>
      </c>
      <c r="B26" s="1109" t="s">
        <v>1158</v>
      </c>
      <c r="C26" s="769">
        <v>58.1</v>
      </c>
      <c r="D26" s="769">
        <v>58.1</v>
      </c>
      <c r="E26" s="774">
        <v>72.284610000000001</v>
      </c>
      <c r="F26" s="775">
        <f t="shared" si="3"/>
        <v>124.41413080895008</v>
      </c>
      <c r="G26" s="768"/>
      <c r="H26" s="768"/>
    </row>
    <row r="27" spans="1:8" ht="108" x14ac:dyDescent="0.35">
      <c r="A27" s="1137" t="s">
        <v>1159</v>
      </c>
      <c r="B27" s="1109" t="s">
        <v>1160</v>
      </c>
      <c r="C27" s="769">
        <v>13028.9</v>
      </c>
      <c r="D27" s="769">
        <v>13028.9</v>
      </c>
      <c r="E27" s="774">
        <v>13161.8212</v>
      </c>
      <c r="F27" s="775">
        <f t="shared" si="3"/>
        <v>101.02020277997377</v>
      </c>
      <c r="G27" s="768"/>
      <c r="H27" s="768"/>
    </row>
    <row r="28" spans="1:8" ht="108" x14ac:dyDescent="0.35">
      <c r="A28" s="1137" t="s">
        <v>1161</v>
      </c>
      <c r="B28" s="1109" t="s">
        <v>1162</v>
      </c>
      <c r="C28" s="769">
        <v>-1321.4</v>
      </c>
      <c r="D28" s="769">
        <v>-1321.4</v>
      </c>
      <c r="E28" s="774">
        <v>-1235.17623</v>
      </c>
      <c r="F28" s="775">
        <f t="shared" si="3"/>
        <v>93.474816860905094</v>
      </c>
      <c r="G28" s="768"/>
      <c r="H28" s="768"/>
    </row>
    <row r="29" spans="1:8" ht="17.399999999999999" x14ac:dyDescent="0.3">
      <c r="A29" s="1136" t="s">
        <v>1163</v>
      </c>
      <c r="B29" s="1108" t="s">
        <v>1164</v>
      </c>
      <c r="C29" s="763">
        <f>C35+C37+C30+C33</f>
        <v>3561.1</v>
      </c>
      <c r="D29" s="763">
        <f t="shared" ref="D29:E29" si="4">D35+D37+D30+D33</f>
        <v>3561.1</v>
      </c>
      <c r="E29" s="763">
        <f t="shared" si="4"/>
        <v>3547.4170800000002</v>
      </c>
      <c r="F29" s="764">
        <f>E29/D29*100</f>
        <v>99.615767038274697</v>
      </c>
      <c r="G29" s="765"/>
      <c r="H29" s="765"/>
    </row>
    <row r="30" spans="1:8" ht="36" x14ac:dyDescent="0.3">
      <c r="A30" s="1138" t="s">
        <v>1165</v>
      </c>
      <c r="B30" s="1109" t="s">
        <v>1166</v>
      </c>
      <c r="C30" s="769">
        <f>C31+C32</f>
        <v>1444</v>
      </c>
      <c r="D30" s="769">
        <f t="shared" ref="D30:E30" si="5">D31+D32</f>
        <v>1444</v>
      </c>
      <c r="E30" s="769">
        <f t="shared" si="5"/>
        <v>1449.8485599999999</v>
      </c>
      <c r="F30" s="770">
        <f t="shared" ref="F30:F32" si="6">E30/D30*100</f>
        <v>100.40502493074793</v>
      </c>
      <c r="G30" s="765"/>
      <c r="H30" s="765"/>
    </row>
    <row r="31" spans="1:8" ht="36" x14ac:dyDescent="0.3">
      <c r="A31" s="1138" t="s">
        <v>1167</v>
      </c>
      <c r="B31" s="1109" t="s">
        <v>1168</v>
      </c>
      <c r="C31" s="769">
        <v>883</v>
      </c>
      <c r="D31" s="769">
        <v>883</v>
      </c>
      <c r="E31" s="769">
        <v>910.94638999999995</v>
      </c>
      <c r="F31" s="770">
        <f t="shared" si="6"/>
        <v>103.16493657984145</v>
      </c>
      <c r="G31" s="765"/>
      <c r="H31" s="765"/>
    </row>
    <row r="32" spans="1:8" ht="36" x14ac:dyDescent="0.3">
      <c r="A32" s="1139" t="s">
        <v>1169</v>
      </c>
      <c r="B32" s="1111" t="s">
        <v>1170</v>
      </c>
      <c r="C32" s="769">
        <v>561</v>
      </c>
      <c r="D32" s="769">
        <v>561</v>
      </c>
      <c r="E32" s="769">
        <v>538.90216999999996</v>
      </c>
      <c r="F32" s="770">
        <f t="shared" si="6"/>
        <v>96.060992869875221</v>
      </c>
      <c r="G32" s="765"/>
      <c r="H32" s="765"/>
    </row>
    <row r="33" spans="1:8" ht="18" x14ac:dyDescent="0.3">
      <c r="A33" s="1140" t="s">
        <v>1171</v>
      </c>
      <c r="B33" s="1112" t="s">
        <v>1172</v>
      </c>
      <c r="C33" s="766">
        <f>C34</f>
        <v>1.1000000000000001</v>
      </c>
      <c r="D33" s="766">
        <f t="shared" ref="D33:E33" si="7">D34</f>
        <v>1.1000000000000001</v>
      </c>
      <c r="E33" s="766">
        <f t="shared" si="7"/>
        <v>1.0764800000000001</v>
      </c>
      <c r="F33" s="767">
        <f>E33/C33*100</f>
        <v>97.86181818181818</v>
      </c>
      <c r="G33" s="765"/>
      <c r="H33" s="765"/>
    </row>
    <row r="34" spans="1:8" ht="18" x14ac:dyDescent="0.3">
      <c r="A34" s="1137" t="s">
        <v>1173</v>
      </c>
      <c r="B34" s="1109" t="s">
        <v>1172</v>
      </c>
      <c r="C34" s="769">
        <v>1.1000000000000001</v>
      </c>
      <c r="D34" s="769">
        <v>1.1000000000000001</v>
      </c>
      <c r="E34" s="769">
        <v>1.0764800000000001</v>
      </c>
      <c r="F34" s="770">
        <f>E34/C34*100</f>
        <v>97.86181818181818</v>
      </c>
      <c r="G34" s="765"/>
      <c r="H34" s="765"/>
    </row>
    <row r="35" spans="1:8" ht="18" x14ac:dyDescent="0.35">
      <c r="A35" s="1137" t="s">
        <v>1174</v>
      </c>
      <c r="B35" s="1109" t="s">
        <v>1175</v>
      </c>
      <c r="C35" s="776">
        <f>C36</f>
        <v>727</v>
      </c>
      <c r="D35" s="766">
        <f>D36</f>
        <v>727</v>
      </c>
      <c r="E35" s="766">
        <f>E36</f>
        <v>727.05691000000002</v>
      </c>
      <c r="F35" s="767">
        <f>E35/D35*100</f>
        <v>100.00782806052271</v>
      </c>
      <c r="G35" s="768"/>
      <c r="H35" s="768"/>
    </row>
    <row r="36" spans="1:8" ht="18" x14ac:dyDescent="0.35">
      <c r="A36" s="1137" t="s">
        <v>1176</v>
      </c>
      <c r="B36" s="1109" t="s">
        <v>1175</v>
      </c>
      <c r="C36" s="769">
        <v>727</v>
      </c>
      <c r="D36" s="769">
        <v>727</v>
      </c>
      <c r="E36" s="769">
        <v>727.05691000000002</v>
      </c>
      <c r="F36" s="770">
        <f>E36/D36*100</f>
        <v>100.00782806052271</v>
      </c>
      <c r="G36" s="768"/>
      <c r="H36" s="768"/>
    </row>
    <row r="37" spans="1:8" ht="18" x14ac:dyDescent="0.35">
      <c r="A37" s="1137" t="s">
        <v>1177</v>
      </c>
      <c r="B37" s="1109" t="s">
        <v>1178</v>
      </c>
      <c r="C37" s="776">
        <f>C38</f>
        <v>1389</v>
      </c>
      <c r="D37" s="766">
        <f>D38</f>
        <v>1389</v>
      </c>
      <c r="E37" s="766">
        <f>E38</f>
        <v>1369.4351300000001</v>
      </c>
      <c r="F37" s="767">
        <f>F38</f>
        <v>98.591442044636437</v>
      </c>
      <c r="G37" s="768"/>
      <c r="H37" s="768"/>
    </row>
    <row r="38" spans="1:8" ht="36" x14ac:dyDescent="0.35">
      <c r="A38" s="1137" t="s">
        <v>1179</v>
      </c>
      <c r="B38" s="1109" t="s">
        <v>1180</v>
      </c>
      <c r="C38" s="769">
        <v>1389</v>
      </c>
      <c r="D38" s="769">
        <v>1389</v>
      </c>
      <c r="E38" s="769">
        <v>1369.4351300000001</v>
      </c>
      <c r="F38" s="770">
        <f>E38/D38*100</f>
        <v>98.591442044636437</v>
      </c>
      <c r="G38" s="768"/>
      <c r="H38" s="768"/>
    </row>
    <row r="39" spans="1:8" ht="17.399999999999999" x14ac:dyDescent="0.3">
      <c r="A39" s="1136" t="s">
        <v>1181</v>
      </c>
      <c r="B39" s="1108" t="s">
        <v>1182</v>
      </c>
      <c r="C39" s="763">
        <f>C41+C42</f>
        <v>6764</v>
      </c>
      <c r="D39" s="763">
        <f t="shared" ref="D39:E39" si="8">D41+D42</f>
        <v>6764</v>
      </c>
      <c r="E39" s="763">
        <f t="shared" si="8"/>
        <v>7153.7737500000003</v>
      </c>
      <c r="F39" s="764">
        <f>E39/D39*100</f>
        <v>105.76247412773508</v>
      </c>
      <c r="G39" s="765"/>
      <c r="H39" s="765"/>
    </row>
    <row r="40" spans="1:8" ht="18" x14ac:dyDescent="0.35">
      <c r="A40" s="1139" t="s">
        <v>1183</v>
      </c>
      <c r="B40" s="1111" t="s">
        <v>1184</v>
      </c>
      <c r="C40" s="766">
        <f>C41</f>
        <v>1778</v>
      </c>
      <c r="D40" s="766">
        <f>D41</f>
        <v>1778</v>
      </c>
      <c r="E40" s="766">
        <f t="shared" ref="E40" si="9">E41</f>
        <v>2098.2260999999999</v>
      </c>
      <c r="F40" s="767">
        <f>E40/D40*100</f>
        <v>118.01046681664791</v>
      </c>
      <c r="G40" s="777"/>
      <c r="H40" s="777"/>
    </row>
    <row r="41" spans="1:8" ht="36" x14ac:dyDescent="0.35">
      <c r="A41" s="1139" t="s">
        <v>1185</v>
      </c>
      <c r="B41" s="1111" t="s">
        <v>1186</v>
      </c>
      <c r="C41" s="774">
        <v>1778</v>
      </c>
      <c r="D41" s="769">
        <v>1778</v>
      </c>
      <c r="E41" s="774">
        <v>2098.2260999999999</v>
      </c>
      <c r="F41" s="778">
        <f t="shared" ref="F41:F44" si="10">E41/D41*100</f>
        <v>118.01046681664791</v>
      </c>
      <c r="G41" s="777"/>
      <c r="H41" s="777"/>
    </row>
    <row r="42" spans="1:8" ht="18" x14ac:dyDescent="0.35">
      <c r="A42" s="1137" t="s">
        <v>1187</v>
      </c>
      <c r="B42" s="1109" t="s">
        <v>1188</v>
      </c>
      <c r="C42" s="776">
        <f>SUM(C43:C44)</f>
        <v>4986</v>
      </c>
      <c r="D42" s="766">
        <f>D43+D44</f>
        <v>4986</v>
      </c>
      <c r="E42" s="776">
        <f>SUM(E43:E44)</f>
        <v>5055.5476500000004</v>
      </c>
      <c r="F42" s="767">
        <f t="shared" si="10"/>
        <v>101.39485860409148</v>
      </c>
      <c r="G42" s="768"/>
      <c r="H42" s="768"/>
    </row>
    <row r="43" spans="1:8" ht="36" x14ac:dyDescent="0.35">
      <c r="A43" s="1137" t="s">
        <v>1189</v>
      </c>
      <c r="B43" s="1109" t="s">
        <v>1190</v>
      </c>
      <c r="C43" s="769">
        <v>2946</v>
      </c>
      <c r="D43" s="769">
        <v>2946</v>
      </c>
      <c r="E43" s="769">
        <v>2955.8725899999999</v>
      </c>
      <c r="F43" s="778">
        <f t="shared" si="10"/>
        <v>100.33511846571623</v>
      </c>
      <c r="G43" s="768"/>
      <c r="H43" s="768"/>
    </row>
    <row r="44" spans="1:8" ht="36" x14ac:dyDescent="0.35">
      <c r="A44" s="1137" t="s">
        <v>1191</v>
      </c>
      <c r="B44" s="1109" t="s">
        <v>1192</v>
      </c>
      <c r="C44" s="769">
        <v>2040</v>
      </c>
      <c r="D44" s="769">
        <v>2040</v>
      </c>
      <c r="E44" s="769">
        <v>2099.67506</v>
      </c>
      <c r="F44" s="778">
        <f t="shared" si="10"/>
        <v>102.92524803921567</v>
      </c>
      <c r="G44" s="768"/>
      <c r="H44" s="768"/>
    </row>
    <row r="45" spans="1:8" ht="17.399999999999999" x14ac:dyDescent="0.3">
      <c r="A45" s="1136" t="s">
        <v>1193</v>
      </c>
      <c r="B45" s="1108" t="s">
        <v>1194</v>
      </c>
      <c r="C45" s="763">
        <f>C46+C48</f>
        <v>5053.2</v>
      </c>
      <c r="D45" s="763">
        <f t="shared" ref="D45:E45" si="11">D46+D48</f>
        <v>5053.2</v>
      </c>
      <c r="E45" s="763">
        <f t="shared" si="11"/>
        <v>5048.8226100000002</v>
      </c>
      <c r="F45" s="764">
        <f>E45/D45*100</f>
        <v>99.913373901686072</v>
      </c>
      <c r="G45" s="765"/>
      <c r="H45" s="765"/>
    </row>
    <row r="46" spans="1:8" ht="36" x14ac:dyDescent="0.35">
      <c r="A46" s="1137" t="s">
        <v>1195</v>
      </c>
      <c r="B46" s="1109" t="s">
        <v>1196</v>
      </c>
      <c r="C46" s="766">
        <f>C47</f>
        <v>5011</v>
      </c>
      <c r="D46" s="766">
        <f>D47</f>
        <v>5011</v>
      </c>
      <c r="E46" s="766">
        <f>E47</f>
        <v>5009.5726100000002</v>
      </c>
      <c r="F46" s="767">
        <f>E46/D46*100</f>
        <v>99.971514867291972</v>
      </c>
      <c r="G46" s="768"/>
      <c r="H46" s="768"/>
    </row>
    <row r="47" spans="1:8" ht="54" x14ac:dyDescent="0.35">
      <c r="A47" s="1137" t="s">
        <v>1197</v>
      </c>
      <c r="B47" s="1109" t="s">
        <v>1198</v>
      </c>
      <c r="C47" s="769">
        <v>5011</v>
      </c>
      <c r="D47" s="769">
        <v>5011</v>
      </c>
      <c r="E47" s="769">
        <v>5009.5726100000002</v>
      </c>
      <c r="F47" s="770">
        <f t="shared" ref="F47:F49" si="12">E47/D47*100</f>
        <v>99.971514867291972</v>
      </c>
      <c r="G47" s="768"/>
      <c r="H47" s="768"/>
    </row>
    <row r="48" spans="1:8" ht="54" x14ac:dyDescent="0.35">
      <c r="A48" s="1137" t="s">
        <v>1199</v>
      </c>
      <c r="B48" s="1109" t="s">
        <v>1200</v>
      </c>
      <c r="C48" s="766">
        <f>C49</f>
        <v>42.2</v>
      </c>
      <c r="D48" s="766">
        <f>D49</f>
        <v>42.2</v>
      </c>
      <c r="E48" s="766">
        <f>E49</f>
        <v>39.25</v>
      </c>
      <c r="F48" s="767">
        <f t="shared" si="12"/>
        <v>93.009478672985779</v>
      </c>
      <c r="G48" s="768"/>
      <c r="H48" s="768"/>
    </row>
    <row r="49" spans="1:8" ht="72" x14ac:dyDescent="0.35">
      <c r="A49" s="1137" t="s">
        <v>1201</v>
      </c>
      <c r="B49" s="1109" t="s">
        <v>1202</v>
      </c>
      <c r="C49" s="769">
        <v>42.2</v>
      </c>
      <c r="D49" s="769">
        <v>42.2</v>
      </c>
      <c r="E49" s="769">
        <v>39.25</v>
      </c>
      <c r="F49" s="770">
        <f t="shared" si="12"/>
        <v>93.009478672985779</v>
      </c>
      <c r="G49" s="768"/>
      <c r="H49" s="768"/>
    </row>
    <row r="50" spans="1:8" ht="18" x14ac:dyDescent="0.35">
      <c r="A50" s="1135"/>
      <c r="B50" s="1107" t="s">
        <v>1203</v>
      </c>
      <c r="C50" s="759">
        <f>C51+C63+C70+C76+C83+C104+C100</f>
        <v>28818.216359999999</v>
      </c>
      <c r="D50" s="759">
        <f>D51+D63+D70+D76+D83+D104+D100</f>
        <v>28818.216359999999</v>
      </c>
      <c r="E50" s="759">
        <f>E51+E63+E70+E76+E83+E104+E100+E102</f>
        <v>29345.86591</v>
      </c>
      <c r="F50" s="761">
        <f>E50/D50*100</f>
        <v>101.83095838898754</v>
      </c>
      <c r="G50" s="762"/>
      <c r="H50" s="762"/>
    </row>
    <row r="51" spans="1:8" ht="34.799999999999997" x14ac:dyDescent="0.3">
      <c r="A51" s="1136" t="s">
        <v>1204</v>
      </c>
      <c r="B51" s="1108" t="s">
        <v>1205</v>
      </c>
      <c r="C51" s="763">
        <f>C52+C62</f>
        <v>8163.7000000000007</v>
      </c>
      <c r="D51" s="763">
        <f>D52+D62</f>
        <v>8163.7000000000007</v>
      </c>
      <c r="E51" s="763">
        <f t="shared" ref="E51" si="13">E52+E62</f>
        <v>8243.6062500000007</v>
      </c>
      <c r="F51" s="764">
        <f>E51/D51*100</f>
        <v>100.97879944142973</v>
      </c>
      <c r="G51" s="765"/>
      <c r="H51" s="765"/>
    </row>
    <row r="52" spans="1:8" ht="90" x14ac:dyDescent="0.35">
      <c r="A52" s="1141" t="s">
        <v>1206</v>
      </c>
      <c r="B52" s="1113" t="s">
        <v>1207</v>
      </c>
      <c r="C52" s="766">
        <f>C53+C54+C55+C56+C58+C59+C57+C60</f>
        <v>6361.4000000000005</v>
      </c>
      <c r="D52" s="766">
        <f t="shared" ref="D52:E52" si="14">D53+D54+D55+D56+D58+D59+D57+D60</f>
        <v>6361.4000000000005</v>
      </c>
      <c r="E52" s="766">
        <f t="shared" si="14"/>
        <v>6440.6507900000006</v>
      </c>
      <c r="F52" s="767">
        <f>E52/D52*100</f>
        <v>101.24580736944696</v>
      </c>
      <c r="G52" s="768"/>
      <c r="H52" s="768"/>
    </row>
    <row r="53" spans="1:8" ht="72" x14ac:dyDescent="0.35">
      <c r="A53" s="1137" t="s">
        <v>1208</v>
      </c>
      <c r="B53" s="1109" t="s">
        <v>1209</v>
      </c>
      <c r="C53" s="769">
        <v>5598.1</v>
      </c>
      <c r="D53" s="769">
        <v>5598.1</v>
      </c>
      <c r="E53" s="769">
        <v>5565.96623</v>
      </c>
      <c r="F53" s="770">
        <f t="shared" ref="F53:F62" si="15">E53/D53*100</f>
        <v>99.42598792447437</v>
      </c>
      <c r="G53" s="768"/>
      <c r="H53" s="768"/>
    </row>
    <row r="54" spans="1:8" ht="72" x14ac:dyDescent="0.35">
      <c r="A54" s="1137" t="s">
        <v>1210</v>
      </c>
      <c r="B54" s="1109" t="s">
        <v>1211</v>
      </c>
      <c r="C54" s="769">
        <v>301.3</v>
      </c>
      <c r="D54" s="769">
        <v>301.3</v>
      </c>
      <c r="E54" s="769">
        <v>357.07927999999998</v>
      </c>
      <c r="F54" s="770">
        <f t="shared" si="15"/>
        <v>118.51287089279788</v>
      </c>
      <c r="G54" s="768"/>
      <c r="H54" s="768"/>
    </row>
    <row r="55" spans="1:8" ht="72" x14ac:dyDescent="0.35">
      <c r="A55" s="1137" t="s">
        <v>1212</v>
      </c>
      <c r="B55" s="1109" t="s">
        <v>1213</v>
      </c>
      <c r="C55" s="769">
        <v>360.8</v>
      </c>
      <c r="D55" s="769">
        <v>360.8</v>
      </c>
      <c r="E55" s="769">
        <v>354.66802999999999</v>
      </c>
      <c r="F55" s="770">
        <f t="shared" si="15"/>
        <v>98.300451773835917</v>
      </c>
      <c r="G55" s="768"/>
      <c r="H55" s="768"/>
    </row>
    <row r="56" spans="1:8" ht="36" x14ac:dyDescent="0.35">
      <c r="A56" s="1137" t="s">
        <v>1214</v>
      </c>
      <c r="B56" s="1109" t="s">
        <v>1215</v>
      </c>
      <c r="C56" s="769">
        <v>91.2</v>
      </c>
      <c r="D56" s="769">
        <v>91.2</v>
      </c>
      <c r="E56" s="769">
        <v>152.90768</v>
      </c>
      <c r="F56" s="770">
        <f t="shared" si="15"/>
        <v>167.66192982456141</v>
      </c>
      <c r="G56" s="768"/>
      <c r="H56" s="768"/>
    </row>
    <row r="57" spans="1:8" ht="108" x14ac:dyDescent="0.35">
      <c r="A57" s="1137" t="s">
        <v>1216</v>
      </c>
      <c r="B57" s="1109" t="s">
        <v>1217</v>
      </c>
      <c r="C57" s="769">
        <v>0</v>
      </c>
      <c r="D57" s="769">
        <v>0</v>
      </c>
      <c r="E57" s="769">
        <v>2.6099999999999999E-3</v>
      </c>
      <c r="F57" s="770">
        <v>0</v>
      </c>
      <c r="G57" s="768"/>
      <c r="H57" s="768"/>
    </row>
    <row r="58" spans="1:8" ht="90" x14ac:dyDescent="0.35">
      <c r="A58" s="1137" t="s">
        <v>1218</v>
      </c>
      <c r="B58" s="1109" t="s">
        <v>1219</v>
      </c>
      <c r="C58" s="769">
        <v>0.2</v>
      </c>
      <c r="D58" s="769">
        <v>0.2</v>
      </c>
      <c r="E58" s="769">
        <v>0.18709000000000001</v>
      </c>
      <c r="F58" s="770">
        <f t="shared" si="15"/>
        <v>93.545000000000002</v>
      </c>
      <c r="G58" s="768"/>
      <c r="H58" s="768"/>
    </row>
    <row r="59" spans="1:8" ht="144" x14ac:dyDescent="0.35">
      <c r="A59" s="1137" t="s">
        <v>1220</v>
      </c>
      <c r="B59" s="1109" t="s">
        <v>1221</v>
      </c>
      <c r="C59" s="769">
        <v>9.8000000000000007</v>
      </c>
      <c r="D59" s="769">
        <v>9.8000000000000007</v>
      </c>
      <c r="E59" s="769">
        <v>9.8150099999999991</v>
      </c>
      <c r="F59" s="770">
        <f t="shared" si="15"/>
        <v>100.15316326530611</v>
      </c>
      <c r="G59" s="768"/>
      <c r="H59" s="768"/>
    </row>
    <row r="60" spans="1:8" ht="180" x14ac:dyDescent="0.35">
      <c r="A60" s="1137" t="s">
        <v>1222</v>
      </c>
      <c r="B60" s="1109" t="s">
        <v>1223</v>
      </c>
      <c r="C60" s="769">
        <v>0</v>
      </c>
      <c r="D60" s="769">
        <v>0</v>
      </c>
      <c r="E60" s="769">
        <v>2.486E-2</v>
      </c>
      <c r="F60" s="770">
        <v>0</v>
      </c>
      <c r="G60" s="768"/>
      <c r="H60" s="768"/>
    </row>
    <row r="61" spans="1:8" ht="90" x14ac:dyDescent="0.35">
      <c r="A61" s="1141" t="s">
        <v>1224</v>
      </c>
      <c r="B61" s="1113" t="s">
        <v>1225</v>
      </c>
      <c r="C61" s="766">
        <f>C62</f>
        <v>1802.3</v>
      </c>
      <c r="D61" s="766">
        <f>D62</f>
        <v>1802.3</v>
      </c>
      <c r="E61" s="766">
        <f>E62</f>
        <v>1802.9554599999999</v>
      </c>
      <c r="F61" s="767">
        <f t="shared" si="15"/>
        <v>100.03636797425513</v>
      </c>
      <c r="G61" s="768"/>
      <c r="H61" s="768"/>
    </row>
    <row r="62" spans="1:8" ht="90" x14ac:dyDescent="0.35">
      <c r="A62" s="1137" t="s">
        <v>1226</v>
      </c>
      <c r="B62" s="1109" t="s">
        <v>1227</v>
      </c>
      <c r="C62" s="769">
        <v>1802.3</v>
      </c>
      <c r="D62" s="769">
        <v>1802.3</v>
      </c>
      <c r="E62" s="769">
        <v>1802.9554599999999</v>
      </c>
      <c r="F62" s="770">
        <f t="shared" si="15"/>
        <v>100.03636797425513</v>
      </c>
      <c r="G62" s="768"/>
      <c r="H62" s="768"/>
    </row>
    <row r="63" spans="1:8" ht="17.399999999999999" x14ac:dyDescent="0.3">
      <c r="A63" s="1136" t="s">
        <v>1228</v>
      </c>
      <c r="B63" s="1108" t="s">
        <v>1229</v>
      </c>
      <c r="C63" s="763">
        <f>C64</f>
        <v>168.5</v>
      </c>
      <c r="D63" s="763">
        <f t="shared" ref="D63:E63" si="16">D64</f>
        <v>168.5</v>
      </c>
      <c r="E63" s="763">
        <f t="shared" si="16"/>
        <v>169.20537000000002</v>
      </c>
      <c r="F63" s="764">
        <f>F64</f>
        <v>100.4186172106825</v>
      </c>
      <c r="G63" s="765"/>
      <c r="H63" s="765"/>
    </row>
    <row r="64" spans="1:8" ht="18" x14ac:dyDescent="0.35">
      <c r="A64" s="1137" t="s">
        <v>1230</v>
      </c>
      <c r="B64" s="1109" t="s">
        <v>1231</v>
      </c>
      <c r="C64" s="766">
        <f>C65+C66+C67+C69+C68</f>
        <v>168.5</v>
      </c>
      <c r="D64" s="766">
        <f t="shared" ref="D64:E64" si="17">D65+D66+D67+D69+D68</f>
        <v>168.5</v>
      </c>
      <c r="E64" s="766">
        <f t="shared" si="17"/>
        <v>169.20537000000002</v>
      </c>
      <c r="F64" s="767">
        <f>E64/D64*100</f>
        <v>100.4186172106825</v>
      </c>
      <c r="G64" s="768"/>
      <c r="H64" s="768"/>
    </row>
    <row r="65" spans="1:8" ht="36" x14ac:dyDescent="0.35">
      <c r="A65" s="1137" t="s">
        <v>1232</v>
      </c>
      <c r="B65" s="1109" t="s">
        <v>1233</v>
      </c>
      <c r="C65" s="769">
        <v>167.5</v>
      </c>
      <c r="D65" s="769">
        <v>167.5</v>
      </c>
      <c r="E65" s="769">
        <v>168.06783999999999</v>
      </c>
      <c r="F65" s="770">
        <f t="shared" ref="F65:F128" si="18">E65/D65*100</f>
        <v>100.33900895522387</v>
      </c>
      <c r="G65" s="768"/>
      <c r="H65" s="768"/>
    </row>
    <row r="66" spans="1:8" ht="18" x14ac:dyDescent="0.35">
      <c r="A66" s="1137" t="s">
        <v>1234</v>
      </c>
      <c r="B66" s="1109" t="s">
        <v>1235</v>
      </c>
      <c r="C66" s="769">
        <v>0.4</v>
      </c>
      <c r="D66" s="769">
        <v>0.4</v>
      </c>
      <c r="E66" s="769">
        <v>0.39123000000000002</v>
      </c>
      <c r="F66" s="770">
        <f t="shared" si="18"/>
        <v>97.807500000000005</v>
      </c>
      <c r="G66" s="768"/>
      <c r="H66" s="768"/>
    </row>
    <row r="67" spans="1:8" ht="18" x14ac:dyDescent="0.35">
      <c r="A67" s="1137" t="s">
        <v>1236</v>
      </c>
      <c r="B67" s="1109" t="s">
        <v>1237</v>
      </c>
      <c r="C67" s="769">
        <v>0.5</v>
      </c>
      <c r="D67" s="769">
        <v>0.5</v>
      </c>
      <c r="E67" s="769">
        <v>0.50688999999999995</v>
      </c>
      <c r="F67" s="770">
        <v>0</v>
      </c>
      <c r="G67" s="768"/>
      <c r="H67" s="768"/>
    </row>
    <row r="68" spans="1:8" ht="18" x14ac:dyDescent="0.35">
      <c r="A68" s="1137" t="s">
        <v>1238</v>
      </c>
      <c r="B68" s="1109" t="s">
        <v>1239</v>
      </c>
      <c r="C68" s="769">
        <v>0</v>
      </c>
      <c r="D68" s="769">
        <v>0</v>
      </c>
      <c r="E68" s="769">
        <v>0.13317000000000001</v>
      </c>
      <c r="F68" s="770">
        <v>0</v>
      </c>
      <c r="G68" s="768"/>
      <c r="H68" s="768"/>
    </row>
    <row r="69" spans="1:8" ht="36" x14ac:dyDescent="0.35">
      <c r="A69" s="1137" t="s">
        <v>1240</v>
      </c>
      <c r="B69" s="1109" t="s">
        <v>1241</v>
      </c>
      <c r="C69" s="769">
        <v>0.1</v>
      </c>
      <c r="D69" s="769">
        <v>0.1</v>
      </c>
      <c r="E69" s="769">
        <v>0.10624</v>
      </c>
      <c r="F69" s="770">
        <v>0</v>
      </c>
      <c r="G69" s="768"/>
      <c r="H69" s="768"/>
    </row>
    <row r="70" spans="1:8" ht="34.799999999999997" x14ac:dyDescent="0.3">
      <c r="A70" s="1136" t="s">
        <v>1242</v>
      </c>
      <c r="B70" s="1108" t="s">
        <v>1243</v>
      </c>
      <c r="C70" s="763">
        <f>C71+C73</f>
        <v>15689.5</v>
      </c>
      <c r="D70" s="763">
        <f>D71+D73</f>
        <v>15689.5</v>
      </c>
      <c r="E70" s="763">
        <f t="shared" ref="E70" si="19">E71+E73</f>
        <v>15876.967550000001</v>
      </c>
      <c r="F70" s="779">
        <f t="shared" si="18"/>
        <v>101.19485993817523</v>
      </c>
      <c r="G70" s="765"/>
      <c r="H70" s="765"/>
    </row>
    <row r="71" spans="1:8" ht="18" x14ac:dyDescent="0.35">
      <c r="A71" s="1137" t="s">
        <v>1244</v>
      </c>
      <c r="B71" s="1109" t="s">
        <v>1245</v>
      </c>
      <c r="C71" s="766">
        <f>C72</f>
        <v>13439.6</v>
      </c>
      <c r="D71" s="766">
        <f>D72</f>
        <v>13439.6</v>
      </c>
      <c r="E71" s="766">
        <f>E72</f>
        <v>13540.957280000001</v>
      </c>
      <c r="F71" s="767">
        <f t="shared" si="18"/>
        <v>100.75416887407363</v>
      </c>
      <c r="G71" s="768"/>
      <c r="H71" s="768"/>
    </row>
    <row r="72" spans="1:8" ht="36" x14ac:dyDescent="0.35">
      <c r="A72" s="1137" t="s">
        <v>1246</v>
      </c>
      <c r="B72" s="1109" t="s">
        <v>1247</v>
      </c>
      <c r="C72" s="769">
        <v>13439.6</v>
      </c>
      <c r="D72" s="769">
        <v>13439.6</v>
      </c>
      <c r="E72" s="774">
        <v>13540.957280000001</v>
      </c>
      <c r="F72" s="770">
        <f t="shared" si="18"/>
        <v>100.75416887407363</v>
      </c>
      <c r="G72" s="768"/>
      <c r="H72" s="768"/>
    </row>
    <row r="73" spans="1:8" ht="18" x14ac:dyDescent="0.35">
      <c r="A73" s="1137" t="s">
        <v>1248</v>
      </c>
      <c r="B73" s="1109" t="s">
        <v>1249</v>
      </c>
      <c r="C73" s="766">
        <f>C74+C75</f>
        <v>2249.9</v>
      </c>
      <c r="D73" s="766">
        <f>D74+D75</f>
        <v>2249.9</v>
      </c>
      <c r="E73" s="766">
        <f>E74+E75</f>
        <v>2336.0102699999998</v>
      </c>
      <c r="F73" s="767">
        <f t="shared" si="18"/>
        <v>103.82729321303168</v>
      </c>
      <c r="G73" s="768"/>
      <c r="H73" s="768"/>
    </row>
    <row r="74" spans="1:8" ht="36" x14ac:dyDescent="0.35">
      <c r="A74" s="1137" t="s">
        <v>1250</v>
      </c>
      <c r="B74" s="1109" t="s">
        <v>1251</v>
      </c>
      <c r="C74" s="769">
        <v>1083</v>
      </c>
      <c r="D74" s="769">
        <v>1083</v>
      </c>
      <c r="E74" s="774">
        <v>1158.23785</v>
      </c>
      <c r="F74" s="770">
        <f t="shared" si="18"/>
        <v>106.94716989843029</v>
      </c>
      <c r="G74" s="768"/>
      <c r="H74" s="768"/>
    </row>
    <row r="75" spans="1:8" ht="18" x14ac:dyDescent="0.35">
      <c r="A75" s="1137" t="s">
        <v>1252</v>
      </c>
      <c r="B75" s="1109" t="s">
        <v>1253</v>
      </c>
      <c r="C75" s="769">
        <v>1166.9000000000001</v>
      </c>
      <c r="D75" s="769">
        <v>1166.9000000000001</v>
      </c>
      <c r="E75" s="769">
        <v>1177.77242</v>
      </c>
      <c r="F75" s="770">
        <f t="shared" si="18"/>
        <v>100.93173536721227</v>
      </c>
      <c r="G75" s="768"/>
      <c r="H75" s="768"/>
    </row>
    <row r="76" spans="1:8" ht="34.799999999999997" x14ac:dyDescent="0.3">
      <c r="A76" s="1136" t="s">
        <v>1254</v>
      </c>
      <c r="B76" s="1108" t="s">
        <v>1255</v>
      </c>
      <c r="C76" s="763">
        <f>C80+C77</f>
        <v>3146.8999999999996</v>
      </c>
      <c r="D76" s="763">
        <f>D80+D77</f>
        <v>3146.8999999999996</v>
      </c>
      <c r="E76" s="763">
        <f>E77+E80</f>
        <v>3252.1945999999998</v>
      </c>
      <c r="F76" s="779">
        <f t="shared" si="18"/>
        <v>103.34597858209666</v>
      </c>
      <c r="G76" s="765"/>
      <c r="H76" s="765"/>
    </row>
    <row r="77" spans="1:8" ht="90" x14ac:dyDescent="0.35">
      <c r="A77" s="1139" t="s">
        <v>1256</v>
      </c>
      <c r="B77" s="1111" t="s">
        <v>1257</v>
      </c>
      <c r="C77" s="766">
        <f>C78+C79</f>
        <v>1986.3999999999999</v>
      </c>
      <c r="D77" s="766">
        <f t="shared" ref="D77:E77" si="20">D78+D79</f>
        <v>1986.3999999999999</v>
      </c>
      <c r="E77" s="766">
        <f t="shared" si="20"/>
        <v>1986.3936800000001</v>
      </c>
      <c r="F77" s="767">
        <f t="shared" si="18"/>
        <v>99.999681836488136</v>
      </c>
      <c r="G77" s="777"/>
      <c r="H77" s="777"/>
    </row>
    <row r="78" spans="1:8" ht="108" x14ac:dyDescent="0.35">
      <c r="A78" s="1139" t="s">
        <v>1258</v>
      </c>
      <c r="B78" s="1111" t="s">
        <v>1259</v>
      </c>
      <c r="C78" s="780">
        <v>1961.8</v>
      </c>
      <c r="D78" s="780">
        <v>1961.8</v>
      </c>
      <c r="E78" s="774">
        <v>1961.7750000000001</v>
      </c>
      <c r="F78" s="770">
        <f t="shared" si="18"/>
        <v>99.998725660108065</v>
      </c>
      <c r="G78" s="781"/>
      <c r="H78" s="781"/>
    </row>
    <row r="79" spans="1:8" ht="90" x14ac:dyDescent="0.35">
      <c r="A79" s="1139" t="s">
        <v>1260</v>
      </c>
      <c r="B79" s="1111" t="s">
        <v>1261</v>
      </c>
      <c r="C79" s="780">
        <v>24.6</v>
      </c>
      <c r="D79" s="780">
        <v>24.6</v>
      </c>
      <c r="E79" s="774">
        <v>24.618680000000001</v>
      </c>
      <c r="F79" s="770">
        <f t="shared" si="18"/>
        <v>100.07593495934958</v>
      </c>
      <c r="G79" s="781"/>
      <c r="H79" s="781"/>
    </row>
    <row r="80" spans="1:8" ht="36" x14ac:dyDescent="0.35">
      <c r="A80" s="1137" t="s">
        <v>1262</v>
      </c>
      <c r="B80" s="1109" t="s">
        <v>1263</v>
      </c>
      <c r="C80" s="776">
        <f>C81+C82</f>
        <v>1160.5</v>
      </c>
      <c r="D80" s="766">
        <f>D81+D82</f>
        <v>1160.5</v>
      </c>
      <c r="E80" s="766">
        <f>E81+E82</f>
        <v>1265.8009199999999</v>
      </c>
      <c r="F80" s="767">
        <f t="shared" si="18"/>
        <v>109.0737544161999</v>
      </c>
      <c r="G80" s="768"/>
      <c r="H80" s="768"/>
    </row>
    <row r="81" spans="1:8" ht="54" x14ac:dyDescent="0.35">
      <c r="A81" s="1137" t="s">
        <v>1264</v>
      </c>
      <c r="B81" s="1109" t="s">
        <v>1265</v>
      </c>
      <c r="C81" s="769">
        <v>1018.5</v>
      </c>
      <c r="D81" s="769">
        <v>1018.5</v>
      </c>
      <c r="E81" s="769">
        <v>1063.14599</v>
      </c>
      <c r="F81" s="770">
        <f t="shared" si="18"/>
        <v>104.38350417280313</v>
      </c>
      <c r="G81" s="768"/>
      <c r="H81" s="768"/>
    </row>
    <row r="82" spans="1:8" ht="54" x14ac:dyDescent="0.35">
      <c r="A82" s="1137" t="s">
        <v>1266</v>
      </c>
      <c r="B82" s="1109" t="s">
        <v>1267</v>
      </c>
      <c r="C82" s="769">
        <v>142</v>
      </c>
      <c r="D82" s="769">
        <v>142</v>
      </c>
      <c r="E82" s="769">
        <v>202.65493000000001</v>
      </c>
      <c r="F82" s="770">
        <f t="shared" si="18"/>
        <v>142.71473943661971</v>
      </c>
      <c r="G82" s="768"/>
      <c r="H82" s="768"/>
    </row>
    <row r="83" spans="1:8" ht="17.399999999999999" x14ac:dyDescent="0.3">
      <c r="A83" s="1136" t="s">
        <v>1268</v>
      </c>
      <c r="B83" s="1108" t="s">
        <v>1269</v>
      </c>
      <c r="C83" s="763">
        <f>SUM(C84:C99)</f>
        <v>1356.6</v>
      </c>
      <c r="D83" s="763">
        <f>SUM(D84:D99)</f>
        <v>1356.6</v>
      </c>
      <c r="E83" s="782">
        <f>SUM(E84:E99)</f>
        <v>1487.2452000000001</v>
      </c>
      <c r="F83" s="779">
        <f t="shared" si="18"/>
        <v>109.63034055727556</v>
      </c>
      <c r="G83" s="765"/>
      <c r="H83" s="765"/>
    </row>
    <row r="84" spans="1:8" ht="72" x14ac:dyDescent="0.35">
      <c r="A84" s="1137" t="s">
        <v>1270</v>
      </c>
      <c r="B84" s="1109" t="s">
        <v>1271</v>
      </c>
      <c r="C84" s="769">
        <v>30.4</v>
      </c>
      <c r="D84" s="769">
        <v>30.4</v>
      </c>
      <c r="E84" s="769">
        <v>31.036660000000001</v>
      </c>
      <c r="F84" s="770">
        <f t="shared" si="18"/>
        <v>102.09427631578949</v>
      </c>
      <c r="G84" s="768"/>
      <c r="H84" s="768"/>
    </row>
    <row r="85" spans="1:8" ht="90" x14ac:dyDescent="0.35">
      <c r="A85" s="1137" t="s">
        <v>1272</v>
      </c>
      <c r="B85" s="1109" t="s">
        <v>1273</v>
      </c>
      <c r="C85" s="769">
        <v>89.8</v>
      </c>
      <c r="D85" s="769">
        <v>89.8</v>
      </c>
      <c r="E85" s="769">
        <v>79.315979999999996</v>
      </c>
      <c r="F85" s="770">
        <f t="shared" si="18"/>
        <v>88.325144766146991</v>
      </c>
      <c r="G85" s="768"/>
      <c r="H85" s="768"/>
    </row>
    <row r="86" spans="1:8" ht="72" x14ac:dyDescent="0.35">
      <c r="A86" s="1137" t="s">
        <v>1274</v>
      </c>
      <c r="B86" s="1109" t="s">
        <v>1275</v>
      </c>
      <c r="C86" s="769">
        <v>10.199999999999999</v>
      </c>
      <c r="D86" s="769">
        <v>10.199999999999999</v>
      </c>
      <c r="E86" s="769">
        <v>15.640549999999999</v>
      </c>
      <c r="F86" s="770">
        <f t="shared" si="18"/>
        <v>153.33872549019608</v>
      </c>
      <c r="G86" s="768"/>
      <c r="H86" s="768"/>
    </row>
    <row r="87" spans="1:8" ht="90" x14ac:dyDescent="0.35">
      <c r="A87" s="1137" t="s">
        <v>1276</v>
      </c>
      <c r="B87" s="1109" t="s">
        <v>1277</v>
      </c>
      <c r="C87" s="769">
        <v>1</v>
      </c>
      <c r="D87" s="769">
        <v>1</v>
      </c>
      <c r="E87" s="769">
        <v>1.00909</v>
      </c>
      <c r="F87" s="770">
        <f t="shared" si="18"/>
        <v>100.90900000000001</v>
      </c>
      <c r="G87" s="768"/>
      <c r="H87" s="768"/>
    </row>
    <row r="88" spans="1:8" ht="72" x14ac:dyDescent="0.35">
      <c r="A88" s="1137" t="s">
        <v>1278</v>
      </c>
      <c r="B88" s="1109" t="s">
        <v>1279</v>
      </c>
      <c r="C88" s="769">
        <v>15</v>
      </c>
      <c r="D88" s="769">
        <v>15</v>
      </c>
      <c r="E88" s="769">
        <v>15</v>
      </c>
      <c r="F88" s="770">
        <f t="shared" si="18"/>
        <v>100</v>
      </c>
      <c r="G88" s="768"/>
      <c r="H88" s="768"/>
    </row>
    <row r="89" spans="1:8" ht="90" x14ac:dyDescent="0.35">
      <c r="A89" s="1137" t="s">
        <v>1280</v>
      </c>
      <c r="B89" s="1109" t="s">
        <v>1281</v>
      </c>
      <c r="C89" s="769">
        <v>0.5</v>
      </c>
      <c r="D89" s="769">
        <v>0.5</v>
      </c>
      <c r="E89" s="769">
        <v>0.75</v>
      </c>
      <c r="F89" s="770">
        <f t="shared" si="18"/>
        <v>150</v>
      </c>
      <c r="G89" s="768"/>
      <c r="H89" s="768"/>
    </row>
    <row r="90" spans="1:8" ht="108" x14ac:dyDescent="0.35">
      <c r="A90" s="1137" t="s">
        <v>1282</v>
      </c>
      <c r="B90" s="1109" t="s">
        <v>1283</v>
      </c>
      <c r="C90" s="769">
        <v>1</v>
      </c>
      <c r="D90" s="769">
        <v>1</v>
      </c>
      <c r="E90" s="769">
        <v>0.9</v>
      </c>
      <c r="F90" s="770">
        <f t="shared" si="18"/>
        <v>90</v>
      </c>
      <c r="G90" s="768"/>
      <c r="H90" s="768"/>
    </row>
    <row r="91" spans="1:8" ht="90" x14ac:dyDescent="0.35">
      <c r="A91" s="1137" t="s">
        <v>1284</v>
      </c>
      <c r="B91" s="1109" t="s">
        <v>1285</v>
      </c>
      <c r="C91" s="769">
        <v>2.5</v>
      </c>
      <c r="D91" s="769">
        <v>2.5</v>
      </c>
      <c r="E91" s="769">
        <v>2.5486599999999999</v>
      </c>
      <c r="F91" s="770">
        <f t="shared" si="18"/>
        <v>101.9464</v>
      </c>
      <c r="G91" s="768"/>
      <c r="H91" s="768"/>
    </row>
    <row r="92" spans="1:8" ht="72" x14ac:dyDescent="0.35">
      <c r="A92" s="1137" t="s">
        <v>1286</v>
      </c>
      <c r="B92" s="1109" t="s">
        <v>1287</v>
      </c>
      <c r="C92" s="769">
        <v>17.899999999999999</v>
      </c>
      <c r="D92" s="769">
        <v>17.899999999999999</v>
      </c>
      <c r="E92" s="769">
        <v>53.62435</v>
      </c>
      <c r="F92" s="770">
        <f t="shared" si="18"/>
        <v>299.577374301676</v>
      </c>
      <c r="G92" s="768"/>
      <c r="H92" s="768"/>
    </row>
    <row r="93" spans="1:8" ht="72" x14ac:dyDescent="0.35">
      <c r="A93" s="1137" t="s">
        <v>1288</v>
      </c>
      <c r="B93" s="1109" t="s">
        <v>1289</v>
      </c>
      <c r="C93" s="769">
        <v>0.3</v>
      </c>
      <c r="D93" s="769">
        <v>0.3</v>
      </c>
      <c r="E93" s="769">
        <v>0.3</v>
      </c>
      <c r="F93" s="770">
        <f t="shared" si="18"/>
        <v>100</v>
      </c>
      <c r="G93" s="768"/>
      <c r="H93" s="768"/>
    </row>
    <row r="94" spans="1:8" ht="90" x14ac:dyDescent="0.35">
      <c r="A94" s="1137" t="s">
        <v>1290</v>
      </c>
      <c r="B94" s="1109" t="s">
        <v>1291</v>
      </c>
      <c r="C94" s="769">
        <v>175</v>
      </c>
      <c r="D94" s="769">
        <v>175</v>
      </c>
      <c r="E94" s="769">
        <v>134.76302000000001</v>
      </c>
      <c r="F94" s="770">
        <f t="shared" si="18"/>
        <v>77.007440000000003</v>
      </c>
      <c r="G94" s="768"/>
      <c r="H94" s="768"/>
    </row>
    <row r="95" spans="1:8" ht="126" x14ac:dyDescent="0.35">
      <c r="A95" s="1137" t="s">
        <v>1292</v>
      </c>
      <c r="B95" s="1109" t="s">
        <v>1293</v>
      </c>
      <c r="C95" s="769">
        <v>66.900000000000006</v>
      </c>
      <c r="D95" s="769">
        <v>66.900000000000006</v>
      </c>
      <c r="E95" s="769">
        <v>81.923230000000004</v>
      </c>
      <c r="F95" s="770">
        <f t="shared" si="18"/>
        <v>122.45624813153961</v>
      </c>
      <c r="G95" s="768"/>
      <c r="H95" s="768"/>
    </row>
    <row r="96" spans="1:8" ht="54" x14ac:dyDescent="0.35">
      <c r="A96" s="1137" t="s">
        <v>1294</v>
      </c>
      <c r="B96" s="1110" t="s">
        <v>1295</v>
      </c>
      <c r="C96" s="769">
        <v>31.5</v>
      </c>
      <c r="D96" s="769">
        <v>31.5</v>
      </c>
      <c r="E96" s="769">
        <v>33.5</v>
      </c>
      <c r="F96" s="770">
        <f t="shared" si="18"/>
        <v>106.34920634920636</v>
      </c>
      <c r="G96" s="768"/>
      <c r="H96" s="768"/>
    </row>
    <row r="97" spans="1:8" ht="72" x14ac:dyDescent="0.35">
      <c r="A97" s="1137" t="s">
        <v>1296</v>
      </c>
      <c r="B97" s="1110" t="s">
        <v>1297</v>
      </c>
      <c r="C97" s="769">
        <v>31.8</v>
      </c>
      <c r="D97" s="769">
        <v>31.8</v>
      </c>
      <c r="E97" s="769">
        <v>31.810469999999999</v>
      </c>
      <c r="F97" s="770">
        <f t="shared" si="18"/>
        <v>100.03292452830188</v>
      </c>
      <c r="G97" s="768"/>
      <c r="H97" s="768"/>
    </row>
    <row r="98" spans="1:8" ht="72" x14ac:dyDescent="0.3">
      <c r="A98" s="1137" t="s">
        <v>1298</v>
      </c>
      <c r="B98" s="1110" t="s">
        <v>1299</v>
      </c>
      <c r="C98" s="769">
        <v>90.1</v>
      </c>
      <c r="D98" s="769">
        <v>90.1</v>
      </c>
      <c r="E98" s="769">
        <v>90.055610000000001</v>
      </c>
      <c r="F98" s="783">
        <f t="shared" si="18"/>
        <v>99.950732519422871</v>
      </c>
    </row>
    <row r="99" spans="1:8" ht="108" x14ac:dyDescent="0.3">
      <c r="A99" s="1137" t="s">
        <v>1300</v>
      </c>
      <c r="B99" s="1110" t="s">
        <v>1301</v>
      </c>
      <c r="C99" s="769">
        <v>792.7</v>
      </c>
      <c r="D99" s="769">
        <v>792.7</v>
      </c>
      <c r="E99" s="769">
        <v>915.06758000000002</v>
      </c>
      <c r="F99" s="783">
        <f t="shared" si="18"/>
        <v>115.43680837643497</v>
      </c>
    </row>
    <row r="100" spans="1:8" ht="17.399999999999999" x14ac:dyDescent="0.3">
      <c r="A100" s="1142" t="s">
        <v>1302</v>
      </c>
      <c r="B100" s="1114" t="s">
        <v>1303</v>
      </c>
      <c r="C100" s="771">
        <f>C101</f>
        <v>0</v>
      </c>
      <c r="D100" s="771">
        <f t="shared" ref="D100:E100" si="21">D101</f>
        <v>0</v>
      </c>
      <c r="E100" s="771">
        <f t="shared" si="21"/>
        <v>-3.3523200000000002</v>
      </c>
      <c r="F100" s="784">
        <v>0</v>
      </c>
    </row>
    <row r="101" spans="1:8" ht="18" x14ac:dyDescent="0.3">
      <c r="A101" s="1137" t="s">
        <v>1304</v>
      </c>
      <c r="B101" s="1110" t="s">
        <v>1305</v>
      </c>
      <c r="C101" s="769">
        <v>0</v>
      </c>
      <c r="D101" s="769">
        <v>0</v>
      </c>
      <c r="E101" s="769">
        <v>-3.3523200000000002</v>
      </c>
      <c r="F101" s="783">
        <v>0</v>
      </c>
    </row>
    <row r="102" spans="1:8" ht="17.399999999999999" x14ac:dyDescent="0.3">
      <c r="A102" s="1142" t="s">
        <v>1306</v>
      </c>
      <c r="B102" s="1114" t="s">
        <v>1307</v>
      </c>
      <c r="C102" s="771">
        <f>C103</f>
        <v>0</v>
      </c>
      <c r="D102" s="771">
        <f t="shared" ref="D102:E102" si="22">D103</f>
        <v>0</v>
      </c>
      <c r="E102" s="771">
        <f t="shared" si="22"/>
        <v>26.982900000000001</v>
      </c>
      <c r="F102" s="784">
        <v>0</v>
      </c>
    </row>
    <row r="103" spans="1:8" ht="18" x14ac:dyDescent="0.3">
      <c r="A103" s="1137" t="s">
        <v>1308</v>
      </c>
      <c r="B103" s="1110" t="s">
        <v>1309</v>
      </c>
      <c r="C103" s="769">
        <v>0</v>
      </c>
      <c r="D103" s="769">
        <v>0</v>
      </c>
      <c r="E103" s="769">
        <v>26.982900000000001</v>
      </c>
      <c r="F103" s="783">
        <v>0</v>
      </c>
    </row>
    <row r="104" spans="1:8" ht="17.399999999999999" x14ac:dyDescent="0.3">
      <c r="A104" s="1142" t="s">
        <v>1310</v>
      </c>
      <c r="B104" s="1114" t="s">
        <v>1311</v>
      </c>
      <c r="C104" s="771">
        <f>C105</f>
        <v>293.01636000000002</v>
      </c>
      <c r="D104" s="771">
        <f t="shared" ref="D104:E104" si="23">D105</f>
        <v>293.01636000000002</v>
      </c>
      <c r="E104" s="771">
        <f t="shared" si="23"/>
        <v>293.01636000000002</v>
      </c>
      <c r="F104" s="784">
        <f t="shared" si="18"/>
        <v>100</v>
      </c>
    </row>
    <row r="105" spans="1:8" ht="18" x14ac:dyDescent="0.3">
      <c r="A105" s="1137" t="s">
        <v>1312</v>
      </c>
      <c r="B105" s="1109" t="s">
        <v>1313</v>
      </c>
      <c r="C105" s="769">
        <v>293.01636000000002</v>
      </c>
      <c r="D105" s="769">
        <v>293.01636000000002</v>
      </c>
      <c r="E105" s="769">
        <v>293.01636000000002</v>
      </c>
      <c r="F105" s="783">
        <f t="shared" si="18"/>
        <v>100</v>
      </c>
    </row>
    <row r="106" spans="1:8" ht="17.399999999999999" x14ac:dyDescent="0.3">
      <c r="A106" s="1143" t="s">
        <v>1314</v>
      </c>
      <c r="B106" s="1106" t="s">
        <v>1315</v>
      </c>
      <c r="C106" s="785">
        <f>C107+C192+C190+C188+C186</f>
        <v>1067103.7568399997</v>
      </c>
      <c r="D106" s="785">
        <f>D107+D192+D190+D188+D186</f>
        <v>1217697.7547099998</v>
      </c>
      <c r="E106" s="785">
        <f>E107+E192+E190+E188+E186</f>
        <v>1175669.2245799999</v>
      </c>
      <c r="F106" s="786">
        <f t="shared" si="18"/>
        <v>96.548525283270379</v>
      </c>
    </row>
    <row r="107" spans="1:8" ht="34.799999999999997" x14ac:dyDescent="0.3">
      <c r="A107" s="1144" t="s">
        <v>1316</v>
      </c>
      <c r="B107" s="1115" t="s">
        <v>1317</v>
      </c>
      <c r="C107" s="787">
        <f>C108+C115+C152+C173</f>
        <v>1069025.6552599999</v>
      </c>
      <c r="D107" s="787">
        <f>D108+D115+D152+D173</f>
        <v>1219619.65313</v>
      </c>
      <c r="E107" s="787">
        <f>E108+E115+E152+E173</f>
        <v>1177564.15591</v>
      </c>
      <c r="F107" s="788">
        <f t="shared" si="18"/>
        <v>96.551753072191815</v>
      </c>
      <c r="G107" s="789"/>
    </row>
    <row r="108" spans="1:8" ht="18" x14ac:dyDescent="0.3">
      <c r="A108" s="1145" t="s">
        <v>1318</v>
      </c>
      <c r="B108" s="1107" t="s">
        <v>1319</v>
      </c>
      <c r="C108" s="790">
        <f>C109+C110+C111</f>
        <v>415970.5</v>
      </c>
      <c r="D108" s="790">
        <f t="shared" ref="D108:E108" si="24">D109+D110+D111</f>
        <v>415970.5</v>
      </c>
      <c r="E108" s="790">
        <f t="shared" si="24"/>
        <v>415970.5</v>
      </c>
      <c r="F108" s="761">
        <f t="shared" si="18"/>
        <v>100</v>
      </c>
    </row>
    <row r="109" spans="1:8" ht="34.799999999999997" x14ac:dyDescent="0.3">
      <c r="A109" s="1136" t="s">
        <v>1320</v>
      </c>
      <c r="B109" s="1108" t="s">
        <v>1321</v>
      </c>
      <c r="C109" s="791">
        <v>408995.2</v>
      </c>
      <c r="D109" s="791">
        <v>408995.2</v>
      </c>
      <c r="E109" s="791">
        <v>408995.2</v>
      </c>
      <c r="F109" s="784">
        <f t="shared" si="18"/>
        <v>100</v>
      </c>
    </row>
    <row r="110" spans="1:8" ht="34.799999999999997" x14ac:dyDescent="0.3">
      <c r="A110" s="1136" t="s">
        <v>1322</v>
      </c>
      <c r="B110" s="1114" t="s">
        <v>1323</v>
      </c>
      <c r="C110" s="791">
        <v>870</v>
      </c>
      <c r="D110" s="791">
        <v>870</v>
      </c>
      <c r="E110" s="791">
        <v>870</v>
      </c>
      <c r="F110" s="784">
        <f t="shared" si="18"/>
        <v>100</v>
      </c>
    </row>
    <row r="111" spans="1:8" ht="17.399999999999999" x14ac:dyDescent="0.3">
      <c r="A111" s="1136" t="s">
        <v>1324</v>
      </c>
      <c r="B111" s="1108" t="s">
        <v>1325</v>
      </c>
      <c r="C111" s="791">
        <f>C113+C114</f>
        <v>6105.3</v>
      </c>
      <c r="D111" s="791">
        <f>D113+D114</f>
        <v>6105.3</v>
      </c>
      <c r="E111" s="791">
        <f>E113+E114</f>
        <v>6105.3</v>
      </c>
      <c r="F111" s="792">
        <f t="shared" si="18"/>
        <v>100</v>
      </c>
    </row>
    <row r="112" spans="1:8" ht="18" x14ac:dyDescent="0.3">
      <c r="A112" s="1136"/>
      <c r="B112" s="1111" t="s">
        <v>110</v>
      </c>
      <c r="C112" s="791"/>
      <c r="D112" s="791"/>
      <c r="E112" s="793"/>
      <c r="F112" s="783"/>
    </row>
    <row r="113" spans="1:6" s="794" customFormat="1" ht="31.2" x14ac:dyDescent="0.3">
      <c r="A113" s="1136"/>
      <c r="B113" s="1116" t="s">
        <v>1326</v>
      </c>
      <c r="C113" s="793">
        <v>1545.3</v>
      </c>
      <c r="D113" s="793">
        <v>1545.3</v>
      </c>
      <c r="E113" s="793">
        <v>1545.3</v>
      </c>
      <c r="F113" s="783">
        <f t="shared" si="18"/>
        <v>100</v>
      </c>
    </row>
    <row r="114" spans="1:6" s="794" customFormat="1" ht="18" x14ac:dyDescent="0.3">
      <c r="A114" s="1136"/>
      <c r="B114" s="1116" t="s">
        <v>1327</v>
      </c>
      <c r="C114" s="793">
        <v>4560</v>
      </c>
      <c r="D114" s="793">
        <v>4560</v>
      </c>
      <c r="E114" s="793">
        <v>4560</v>
      </c>
      <c r="F114" s="783">
        <f t="shared" si="18"/>
        <v>100</v>
      </c>
    </row>
    <row r="115" spans="1:6" ht="36" x14ac:dyDescent="0.3">
      <c r="A115" s="1135" t="s">
        <v>1328</v>
      </c>
      <c r="B115" s="1107" t="s">
        <v>1329</v>
      </c>
      <c r="C115" s="795">
        <f>C136+C125+C128+C117+C123+C121+C119+C134+C132</f>
        <v>258562.77776</v>
      </c>
      <c r="D115" s="795">
        <f t="shared" ref="D115:E115" si="25">D136+D125+D128+D117+D123+D121+D119+D134+D132</f>
        <v>335433.77191999997</v>
      </c>
      <c r="E115" s="795">
        <f t="shared" si="25"/>
        <v>296437.10168999998</v>
      </c>
      <c r="F115" s="796">
        <f t="shared" si="18"/>
        <v>88.374256412290947</v>
      </c>
    </row>
    <row r="116" spans="1:6" ht="34.799999999999997" x14ac:dyDescent="0.3">
      <c r="A116" s="1142" t="s">
        <v>1330</v>
      </c>
      <c r="B116" s="1117" t="s">
        <v>1331</v>
      </c>
      <c r="C116" s="797">
        <f>C117</f>
        <v>68362.5</v>
      </c>
      <c r="D116" s="797">
        <f>D117</f>
        <v>84124.012730000002</v>
      </c>
      <c r="E116" s="797">
        <f>E117</f>
        <v>45127.346859999998</v>
      </c>
      <c r="F116" s="784">
        <f t="shared" si="18"/>
        <v>53.643835327777758</v>
      </c>
    </row>
    <row r="117" spans="1:6" ht="31.2" x14ac:dyDescent="0.3">
      <c r="A117" s="1139" t="s">
        <v>1332</v>
      </c>
      <c r="B117" s="1116" t="s">
        <v>1333</v>
      </c>
      <c r="C117" s="780">
        <f>C118</f>
        <v>68362.5</v>
      </c>
      <c r="D117" s="780">
        <f t="shared" ref="D117:E117" si="26">D118</f>
        <v>84124.012730000002</v>
      </c>
      <c r="E117" s="780">
        <f t="shared" si="26"/>
        <v>45127.346859999998</v>
      </c>
      <c r="F117" s="783">
        <f t="shared" si="18"/>
        <v>53.643835327777758</v>
      </c>
    </row>
    <row r="118" spans="1:6" ht="31.2" x14ac:dyDescent="0.3">
      <c r="A118" s="1139"/>
      <c r="B118" s="1118" t="s">
        <v>1334</v>
      </c>
      <c r="C118" s="780">
        <v>68362.5</v>
      </c>
      <c r="D118" s="780">
        <v>84124.012730000002</v>
      </c>
      <c r="E118" s="780">
        <v>45127.346859999998</v>
      </c>
      <c r="F118" s="783">
        <f t="shared" si="18"/>
        <v>53.643835327777758</v>
      </c>
    </row>
    <row r="119" spans="1:6" s="798" customFormat="1" ht="34.799999999999997" x14ac:dyDescent="0.3">
      <c r="A119" s="1146" t="s">
        <v>1335</v>
      </c>
      <c r="B119" s="1119" t="s">
        <v>1336</v>
      </c>
      <c r="C119" s="797">
        <f>C120</f>
        <v>49898.901749999997</v>
      </c>
      <c r="D119" s="797">
        <f t="shared" ref="D119:E119" si="27">D120</f>
        <v>74879.399420000002</v>
      </c>
      <c r="E119" s="797">
        <f t="shared" si="27"/>
        <v>74879.399420000002</v>
      </c>
      <c r="F119" s="784">
        <f t="shared" si="18"/>
        <v>100</v>
      </c>
    </row>
    <row r="120" spans="1:6" s="798" customFormat="1" ht="31.2" x14ac:dyDescent="0.3">
      <c r="A120" s="1147" t="s">
        <v>1337</v>
      </c>
      <c r="B120" s="1120" t="s">
        <v>615</v>
      </c>
      <c r="C120" s="780">
        <v>49898.901749999997</v>
      </c>
      <c r="D120" s="780">
        <v>74879.399420000002</v>
      </c>
      <c r="E120" s="780">
        <v>74879.399420000002</v>
      </c>
      <c r="F120" s="783">
        <f t="shared" si="18"/>
        <v>100</v>
      </c>
    </row>
    <row r="121" spans="1:6" ht="52.2" x14ac:dyDescent="0.3">
      <c r="A121" s="1146" t="s">
        <v>1338</v>
      </c>
      <c r="B121" s="1121" t="s">
        <v>1339</v>
      </c>
      <c r="C121" s="797">
        <f>C122</f>
        <v>0</v>
      </c>
      <c r="D121" s="797">
        <f t="shared" ref="D121:E121" si="28">D122</f>
        <v>1102.1766</v>
      </c>
      <c r="E121" s="797">
        <f t="shared" si="28"/>
        <v>1102.1766</v>
      </c>
      <c r="F121" s="784">
        <f>E121/D121*100</f>
        <v>100</v>
      </c>
    </row>
    <row r="122" spans="1:6" ht="46.8" x14ac:dyDescent="0.3">
      <c r="A122" s="1147" t="s">
        <v>1340</v>
      </c>
      <c r="B122" s="1116" t="s">
        <v>1341</v>
      </c>
      <c r="C122" s="780">
        <v>0</v>
      </c>
      <c r="D122" s="780">
        <v>1102.1766</v>
      </c>
      <c r="E122" s="780">
        <v>1102.1766</v>
      </c>
      <c r="F122" s="783">
        <f>E122/D122*100</f>
        <v>100</v>
      </c>
    </row>
    <row r="123" spans="1:6" s="798" customFormat="1" ht="34.799999999999997" x14ac:dyDescent="0.3">
      <c r="A123" s="1136" t="s">
        <v>1342</v>
      </c>
      <c r="B123" s="1122" t="s">
        <v>1343</v>
      </c>
      <c r="C123" s="797">
        <f>C124</f>
        <v>0</v>
      </c>
      <c r="D123" s="797">
        <f t="shared" ref="D123:E123" si="29">D124</f>
        <v>1862.924</v>
      </c>
      <c r="E123" s="797">
        <f t="shared" si="29"/>
        <v>1862.9196400000001</v>
      </c>
      <c r="F123" s="784">
        <f t="shared" si="18"/>
        <v>99.999765959319873</v>
      </c>
    </row>
    <row r="124" spans="1:6" s="798" customFormat="1" ht="31.2" x14ac:dyDescent="0.3">
      <c r="A124" s="1137" t="s">
        <v>1344</v>
      </c>
      <c r="B124" s="1116" t="s">
        <v>1345</v>
      </c>
      <c r="C124" s="780">
        <v>0</v>
      </c>
      <c r="D124" s="780">
        <v>1862.924</v>
      </c>
      <c r="E124" s="780">
        <v>1862.9196400000001</v>
      </c>
      <c r="F124" s="783">
        <f t="shared" si="18"/>
        <v>99.999765959319873</v>
      </c>
    </row>
    <row r="125" spans="1:6" ht="34.799999999999997" x14ac:dyDescent="0.3">
      <c r="A125" s="1146" t="s">
        <v>1346</v>
      </c>
      <c r="B125" s="1119" t="s">
        <v>1347</v>
      </c>
      <c r="C125" s="799">
        <f>C126</f>
        <v>5774.1715199999999</v>
      </c>
      <c r="D125" s="799">
        <f>D126</f>
        <v>5774.1715199999999</v>
      </c>
      <c r="E125" s="799">
        <f>E126</f>
        <v>5774.1715199999999</v>
      </c>
      <c r="F125" s="784">
        <f t="shared" si="18"/>
        <v>100</v>
      </c>
    </row>
    <row r="126" spans="1:6" ht="31.2" x14ac:dyDescent="0.3">
      <c r="A126" s="1147" t="s">
        <v>1348</v>
      </c>
      <c r="B126" s="1116" t="s">
        <v>1349</v>
      </c>
      <c r="C126" s="793">
        <f>C127</f>
        <v>5774.1715199999999</v>
      </c>
      <c r="D126" s="793">
        <f t="shared" ref="D126:E126" si="30">D127</f>
        <v>5774.1715199999999</v>
      </c>
      <c r="E126" s="793">
        <f t="shared" si="30"/>
        <v>5774.1715199999999</v>
      </c>
      <c r="F126" s="783">
        <f t="shared" si="18"/>
        <v>100</v>
      </c>
    </row>
    <row r="127" spans="1:6" ht="78" x14ac:dyDescent="0.3">
      <c r="A127" s="1147"/>
      <c r="B127" s="1120" t="s">
        <v>1350</v>
      </c>
      <c r="C127" s="800">
        <v>5774.1715199999999</v>
      </c>
      <c r="D127" s="800">
        <v>5774.1715199999999</v>
      </c>
      <c r="E127" s="793">
        <v>5774.1715199999999</v>
      </c>
      <c r="F127" s="783">
        <f t="shared" si="18"/>
        <v>100</v>
      </c>
    </row>
    <row r="128" spans="1:6" s="798" customFormat="1" ht="34.799999999999997" x14ac:dyDescent="0.3">
      <c r="A128" s="1136" t="s">
        <v>1351</v>
      </c>
      <c r="B128" s="1122" t="s">
        <v>1352</v>
      </c>
      <c r="C128" s="799">
        <f>SUM(C129)</f>
        <v>2806.6</v>
      </c>
      <c r="D128" s="799">
        <f>SUM(D129)</f>
        <v>2576.29549</v>
      </c>
      <c r="E128" s="799">
        <f>SUM(E129)</f>
        <v>2576.29549</v>
      </c>
      <c r="F128" s="784">
        <f t="shared" si="18"/>
        <v>100</v>
      </c>
    </row>
    <row r="129" spans="1:6" ht="31.2" x14ac:dyDescent="0.3">
      <c r="A129" s="1137" t="s">
        <v>1353</v>
      </c>
      <c r="B129" s="1116" t="s">
        <v>1354</v>
      </c>
      <c r="C129" s="801">
        <f>SUM(C131:C131)</f>
        <v>2806.6</v>
      </c>
      <c r="D129" s="801">
        <f>SUM(D131:D131)</f>
        <v>2576.29549</v>
      </c>
      <c r="E129" s="801">
        <f>E131</f>
        <v>2576.29549</v>
      </c>
      <c r="F129" s="783">
        <f t="shared" ref="F129:F192" si="31">E129/D129*100</f>
        <v>100</v>
      </c>
    </row>
    <row r="130" spans="1:6" ht="18" x14ac:dyDescent="0.3">
      <c r="A130" s="1137"/>
      <c r="B130" s="1116" t="s">
        <v>110</v>
      </c>
      <c r="C130" s="801"/>
      <c r="D130" s="801"/>
      <c r="E130" s="801"/>
      <c r="F130" s="783"/>
    </row>
    <row r="131" spans="1:6" ht="46.8" x14ac:dyDescent="0.3">
      <c r="A131" s="1137"/>
      <c r="B131" s="1116" t="s">
        <v>1355</v>
      </c>
      <c r="C131" s="801">
        <v>2806.6</v>
      </c>
      <c r="D131" s="801">
        <v>2576.29549</v>
      </c>
      <c r="E131" s="793">
        <v>2576.29549</v>
      </c>
      <c r="F131" s="783">
        <f t="shared" si="31"/>
        <v>100</v>
      </c>
    </row>
    <row r="132" spans="1:6" ht="34.799999999999997" x14ac:dyDescent="0.3">
      <c r="A132" s="1136" t="s">
        <v>1356</v>
      </c>
      <c r="B132" s="1122" t="s">
        <v>1357</v>
      </c>
      <c r="C132" s="799">
        <f>C133</f>
        <v>0</v>
      </c>
      <c r="D132" s="799">
        <f t="shared" ref="D132:E132" si="32">D133</f>
        <v>33.933010000000003</v>
      </c>
      <c r="E132" s="799">
        <f t="shared" si="32"/>
        <v>33.933010000000003</v>
      </c>
      <c r="F132" s="784">
        <f>E132/D132*100</f>
        <v>100</v>
      </c>
    </row>
    <row r="133" spans="1:6" ht="31.2" x14ac:dyDescent="0.3">
      <c r="A133" s="1137" t="s">
        <v>1358</v>
      </c>
      <c r="B133" s="1116" t="s">
        <v>1359</v>
      </c>
      <c r="C133" s="801">
        <v>0</v>
      </c>
      <c r="D133" s="801">
        <v>33.933010000000003</v>
      </c>
      <c r="E133" s="793">
        <v>33.933010000000003</v>
      </c>
      <c r="F133" s="783">
        <f>E133/D133*100</f>
        <v>100</v>
      </c>
    </row>
    <row r="134" spans="1:6" ht="34.799999999999997" x14ac:dyDescent="0.3">
      <c r="A134" s="1136" t="s">
        <v>1360</v>
      </c>
      <c r="B134" s="1122" t="s">
        <v>1361</v>
      </c>
      <c r="C134" s="799">
        <f>C135</f>
        <v>62799.090909999999</v>
      </c>
      <c r="D134" s="799">
        <f t="shared" ref="D134:E134" si="33">D135</f>
        <v>64473.733339999999</v>
      </c>
      <c r="E134" s="799">
        <f t="shared" si="33"/>
        <v>64473.733339999999</v>
      </c>
      <c r="F134" s="784">
        <f>E134/D134*100</f>
        <v>100</v>
      </c>
    </row>
    <row r="135" spans="1:6" ht="31.2" x14ac:dyDescent="0.3">
      <c r="A135" s="1137" t="s">
        <v>1362</v>
      </c>
      <c r="B135" s="1123" t="s">
        <v>1363</v>
      </c>
      <c r="C135" s="801">
        <v>62799.090909999999</v>
      </c>
      <c r="D135" s="801">
        <v>64473.733339999999</v>
      </c>
      <c r="E135" s="793">
        <v>64473.733339999999</v>
      </c>
      <c r="F135" s="783">
        <f>E135/D135*100</f>
        <v>100</v>
      </c>
    </row>
    <row r="136" spans="1:6" ht="17.399999999999999" x14ac:dyDescent="0.3">
      <c r="A136" s="1148" t="s">
        <v>1364</v>
      </c>
      <c r="B136" s="1117" t="s">
        <v>1365</v>
      </c>
      <c r="C136" s="802">
        <f>SUM(C138:C151)</f>
        <v>68921.513579999999</v>
      </c>
      <c r="D136" s="802">
        <f t="shared" ref="D136:E136" si="34">SUM(D138:D151)</f>
        <v>100607.12581000001</v>
      </c>
      <c r="E136" s="802">
        <f t="shared" si="34"/>
        <v>100607.12581000001</v>
      </c>
      <c r="F136" s="784">
        <f t="shared" si="31"/>
        <v>100</v>
      </c>
    </row>
    <row r="137" spans="1:6" ht="18" x14ac:dyDescent="0.3">
      <c r="A137" s="1149"/>
      <c r="B137" s="1124" t="s">
        <v>110</v>
      </c>
      <c r="C137" s="801"/>
      <c r="D137" s="801"/>
      <c r="E137" s="801"/>
      <c r="F137" s="783"/>
    </row>
    <row r="138" spans="1:6" ht="124.8" x14ac:dyDescent="0.3">
      <c r="A138" s="1149"/>
      <c r="B138" s="1116" t="s">
        <v>1366</v>
      </c>
      <c r="C138" s="793">
        <v>8930.9</v>
      </c>
      <c r="D138" s="793">
        <v>8930.9</v>
      </c>
      <c r="E138" s="793">
        <v>8930.9</v>
      </c>
      <c r="F138" s="783">
        <f t="shared" si="31"/>
        <v>100</v>
      </c>
    </row>
    <row r="139" spans="1:6" ht="31.2" x14ac:dyDescent="0.3">
      <c r="A139" s="1149"/>
      <c r="B139" s="1125" t="s">
        <v>1367</v>
      </c>
      <c r="C139" s="793">
        <v>1634.0559000000001</v>
      </c>
      <c r="D139" s="793">
        <v>954.24577999999997</v>
      </c>
      <c r="E139" s="793">
        <v>954.24577999999997</v>
      </c>
      <c r="F139" s="783">
        <f t="shared" si="31"/>
        <v>100</v>
      </c>
    </row>
    <row r="140" spans="1:6" ht="46.8" x14ac:dyDescent="0.3">
      <c r="A140" s="1150"/>
      <c r="B140" s="1116" t="s">
        <v>1368</v>
      </c>
      <c r="C140" s="793">
        <v>26127.1</v>
      </c>
      <c r="D140" s="793">
        <v>26059.895570000001</v>
      </c>
      <c r="E140" s="793">
        <v>26059.895570000001</v>
      </c>
      <c r="F140" s="783">
        <f t="shared" si="31"/>
        <v>100</v>
      </c>
    </row>
    <row r="141" spans="1:6" ht="31.2" x14ac:dyDescent="0.3">
      <c r="A141" s="1137"/>
      <c r="B141" s="1116" t="s">
        <v>1369</v>
      </c>
      <c r="C141" s="793">
        <v>86.1</v>
      </c>
      <c r="D141" s="793">
        <v>86.1</v>
      </c>
      <c r="E141" s="793">
        <v>86.1</v>
      </c>
      <c r="F141" s="783">
        <f t="shared" si="31"/>
        <v>100</v>
      </c>
    </row>
    <row r="142" spans="1:6" ht="31.2" x14ac:dyDescent="0.3">
      <c r="A142" s="1139"/>
      <c r="B142" s="1116" t="s">
        <v>1370</v>
      </c>
      <c r="C142" s="780">
        <v>6267.7060799999999</v>
      </c>
      <c r="D142" s="780">
        <v>6266.85</v>
      </c>
      <c r="E142" s="780">
        <v>6266.85</v>
      </c>
      <c r="F142" s="783">
        <f t="shared" si="31"/>
        <v>100</v>
      </c>
    </row>
    <row r="143" spans="1:6" ht="46.8" x14ac:dyDescent="0.3">
      <c r="A143" s="1139"/>
      <c r="B143" s="1116" t="s">
        <v>1371</v>
      </c>
      <c r="C143" s="780">
        <v>0</v>
      </c>
      <c r="D143" s="780">
        <v>3000</v>
      </c>
      <c r="E143" s="780">
        <v>3000</v>
      </c>
      <c r="F143" s="783">
        <f t="shared" si="31"/>
        <v>100</v>
      </c>
    </row>
    <row r="144" spans="1:6" ht="18" x14ac:dyDescent="0.3">
      <c r="A144" s="1139"/>
      <c r="B144" s="1118" t="s">
        <v>1372</v>
      </c>
      <c r="C144" s="780">
        <v>23792.212169999999</v>
      </c>
      <c r="D144" s="780">
        <v>36482.991650000004</v>
      </c>
      <c r="E144" s="780">
        <v>36482.991650000004</v>
      </c>
      <c r="F144" s="783">
        <f t="shared" si="31"/>
        <v>100</v>
      </c>
    </row>
    <row r="145" spans="1:6" ht="31.2" x14ac:dyDescent="0.3">
      <c r="A145" s="1139"/>
      <c r="B145" s="1118" t="s">
        <v>1373</v>
      </c>
      <c r="C145" s="780">
        <v>2083.4394299999999</v>
      </c>
      <c r="D145" s="780">
        <v>2083.4394299999999</v>
      </c>
      <c r="E145" s="780">
        <v>2083.4394299999999</v>
      </c>
      <c r="F145" s="783">
        <f t="shared" si="31"/>
        <v>100</v>
      </c>
    </row>
    <row r="146" spans="1:6" ht="18" x14ac:dyDescent="0.3">
      <c r="A146" s="1139"/>
      <c r="B146" s="1118" t="s">
        <v>1374</v>
      </c>
      <c r="C146" s="780">
        <v>0</v>
      </c>
      <c r="D146" s="780">
        <v>5000</v>
      </c>
      <c r="E146" s="780">
        <v>5000</v>
      </c>
      <c r="F146" s="783">
        <f t="shared" si="31"/>
        <v>100</v>
      </c>
    </row>
    <row r="147" spans="1:6" ht="36" x14ac:dyDescent="0.3">
      <c r="A147" s="1139"/>
      <c r="B147" s="1124" t="s">
        <v>1375</v>
      </c>
      <c r="C147" s="780">
        <v>0</v>
      </c>
      <c r="D147" s="780">
        <v>4687</v>
      </c>
      <c r="E147" s="780">
        <v>4687</v>
      </c>
      <c r="F147" s="783">
        <f t="shared" si="31"/>
        <v>100</v>
      </c>
    </row>
    <row r="148" spans="1:6" ht="18" x14ac:dyDescent="0.3">
      <c r="A148" s="1139"/>
      <c r="B148" s="1124" t="s">
        <v>1376</v>
      </c>
      <c r="C148" s="780">
        <v>0</v>
      </c>
      <c r="D148" s="780">
        <v>500</v>
      </c>
      <c r="E148" s="780">
        <v>500</v>
      </c>
      <c r="F148" s="783">
        <f t="shared" si="31"/>
        <v>100</v>
      </c>
    </row>
    <row r="149" spans="1:6" ht="54" x14ac:dyDescent="0.3">
      <c r="A149" s="1139"/>
      <c r="B149" s="1124" t="s">
        <v>1377</v>
      </c>
      <c r="C149" s="780">
        <v>0</v>
      </c>
      <c r="D149" s="780">
        <v>1487.5474999999999</v>
      </c>
      <c r="E149" s="780">
        <v>1487.5474999999999</v>
      </c>
      <c r="F149" s="783">
        <f t="shared" si="31"/>
        <v>100</v>
      </c>
    </row>
    <row r="150" spans="1:6" ht="72" x14ac:dyDescent="0.3">
      <c r="A150" s="1139"/>
      <c r="B150" s="1124" t="s">
        <v>1378</v>
      </c>
      <c r="C150" s="780">
        <v>0</v>
      </c>
      <c r="D150" s="780">
        <v>3174.5435200000002</v>
      </c>
      <c r="E150" s="780">
        <v>3174.5435200000002</v>
      </c>
      <c r="F150" s="783">
        <f t="shared" si="31"/>
        <v>100</v>
      </c>
    </row>
    <row r="151" spans="1:6" ht="36" x14ac:dyDescent="0.3">
      <c r="A151" s="1139"/>
      <c r="B151" s="1124" t="s">
        <v>1379</v>
      </c>
      <c r="C151" s="780">
        <v>0</v>
      </c>
      <c r="D151" s="780">
        <v>1893.6123600000001</v>
      </c>
      <c r="E151" s="780">
        <v>1893.6123600000001</v>
      </c>
      <c r="F151" s="783">
        <f t="shared" si="31"/>
        <v>100</v>
      </c>
    </row>
    <row r="152" spans="1:6" ht="18" x14ac:dyDescent="0.3">
      <c r="A152" s="1135" t="s">
        <v>1380</v>
      </c>
      <c r="B152" s="1126" t="s">
        <v>1381</v>
      </c>
      <c r="C152" s="795">
        <f>C153+C169+C167+C168+C170</f>
        <v>364455.3</v>
      </c>
      <c r="D152" s="795">
        <f t="shared" ref="D152:E152" si="35">D153+D169+D167+D168+D170</f>
        <v>427428.97891000006</v>
      </c>
      <c r="E152" s="795">
        <f t="shared" si="35"/>
        <v>425501.97891000006</v>
      </c>
      <c r="F152" s="796">
        <f t="shared" si="31"/>
        <v>99.549164868298334</v>
      </c>
    </row>
    <row r="153" spans="1:6" ht="34.799999999999997" x14ac:dyDescent="0.3">
      <c r="A153" s="1151" t="s">
        <v>1382</v>
      </c>
      <c r="B153" s="1127" t="s">
        <v>1383</v>
      </c>
      <c r="C153" s="797">
        <f>SUM(C155:C166)</f>
        <v>361395.5</v>
      </c>
      <c r="D153" s="797">
        <f>SUM(D155:D166)</f>
        <v>424028.48000000004</v>
      </c>
      <c r="E153" s="797">
        <f>SUM(E155:E166)</f>
        <v>422101.48000000004</v>
      </c>
      <c r="F153" s="784">
        <f t="shared" si="31"/>
        <v>99.545549393286038</v>
      </c>
    </row>
    <row r="154" spans="1:6" ht="18" x14ac:dyDescent="0.3">
      <c r="A154" s="1150"/>
      <c r="B154" s="1128" t="s">
        <v>110</v>
      </c>
      <c r="C154" s="801"/>
      <c r="D154" s="801"/>
      <c r="E154" s="801"/>
      <c r="F154" s="783"/>
    </row>
    <row r="155" spans="1:6" ht="31.2" x14ac:dyDescent="0.3">
      <c r="A155" s="1150"/>
      <c r="B155" s="1116" t="s">
        <v>1384</v>
      </c>
      <c r="C155" s="793">
        <v>338369</v>
      </c>
      <c r="D155" s="793">
        <v>400308.78</v>
      </c>
      <c r="E155" s="793">
        <v>398381.78</v>
      </c>
      <c r="F155" s="783">
        <f t="shared" si="31"/>
        <v>99.518621600055837</v>
      </c>
    </row>
    <row r="156" spans="1:6" ht="31.2" x14ac:dyDescent="0.3">
      <c r="A156" s="1150"/>
      <c r="B156" s="1116" t="s">
        <v>1385</v>
      </c>
      <c r="C156" s="793">
        <v>1372.2</v>
      </c>
      <c r="D156" s="793">
        <v>1406.7</v>
      </c>
      <c r="E156" s="793">
        <v>1406.7</v>
      </c>
      <c r="F156" s="783">
        <f t="shared" si="31"/>
        <v>100</v>
      </c>
    </row>
    <row r="157" spans="1:6" ht="62.4" x14ac:dyDescent="0.3">
      <c r="A157" s="1150"/>
      <c r="B157" s="1116" t="s">
        <v>1386</v>
      </c>
      <c r="C157" s="793">
        <v>92.2</v>
      </c>
      <c r="D157" s="793">
        <v>94.5</v>
      </c>
      <c r="E157" s="793">
        <v>94.5</v>
      </c>
      <c r="F157" s="783">
        <f t="shared" si="31"/>
        <v>100</v>
      </c>
    </row>
    <row r="158" spans="1:6" ht="31.2" x14ac:dyDescent="0.3">
      <c r="A158" s="1150"/>
      <c r="B158" s="1116" t="s">
        <v>1387</v>
      </c>
      <c r="C158" s="793">
        <v>4606.1000000000004</v>
      </c>
      <c r="D158" s="793">
        <v>4606.1000000000004</v>
      </c>
      <c r="E158" s="793">
        <v>4606.1000000000004</v>
      </c>
      <c r="F158" s="783">
        <f t="shared" si="31"/>
        <v>100</v>
      </c>
    </row>
    <row r="159" spans="1:6" ht="78" x14ac:dyDescent="0.3">
      <c r="A159" s="1150"/>
      <c r="B159" s="1116" t="s">
        <v>1388</v>
      </c>
      <c r="C159" s="793">
        <v>15188.6</v>
      </c>
      <c r="D159" s="793">
        <v>15814.8</v>
      </c>
      <c r="E159" s="793">
        <v>15814.8</v>
      </c>
      <c r="F159" s="783">
        <f t="shared" si="31"/>
        <v>100</v>
      </c>
    </row>
    <row r="160" spans="1:6" ht="46.8" x14ac:dyDescent="0.3">
      <c r="A160" s="1150"/>
      <c r="B160" s="1116" t="s">
        <v>1389</v>
      </c>
      <c r="C160" s="793">
        <v>649.5</v>
      </c>
      <c r="D160" s="793">
        <v>665.4</v>
      </c>
      <c r="E160" s="793">
        <v>665.4</v>
      </c>
      <c r="F160" s="783">
        <f t="shared" si="31"/>
        <v>100</v>
      </c>
    </row>
    <row r="161" spans="1:6" ht="31.2" x14ac:dyDescent="0.3">
      <c r="A161" s="1150"/>
      <c r="B161" s="1116" t="s">
        <v>1390</v>
      </c>
      <c r="C161" s="793">
        <v>12.2</v>
      </c>
      <c r="D161" s="793">
        <v>12.2</v>
      </c>
      <c r="E161" s="793">
        <v>12.2</v>
      </c>
      <c r="F161" s="783">
        <f t="shared" si="31"/>
        <v>100</v>
      </c>
    </row>
    <row r="162" spans="1:6" ht="31.2" x14ac:dyDescent="0.3">
      <c r="A162" s="1150"/>
      <c r="B162" s="1116" t="s">
        <v>1391</v>
      </c>
      <c r="C162" s="793">
        <v>73.599999999999994</v>
      </c>
      <c r="D162" s="793">
        <v>75.5</v>
      </c>
      <c r="E162" s="793">
        <v>75.5</v>
      </c>
      <c r="F162" s="783">
        <f t="shared" si="31"/>
        <v>100</v>
      </c>
    </row>
    <row r="163" spans="1:6" ht="31.2" x14ac:dyDescent="0.3">
      <c r="A163" s="1150"/>
      <c r="B163" s="1116" t="s">
        <v>1392</v>
      </c>
      <c r="C163" s="793">
        <v>556.4</v>
      </c>
      <c r="D163" s="793">
        <v>556.4</v>
      </c>
      <c r="E163" s="793">
        <v>556.4</v>
      </c>
      <c r="F163" s="783">
        <f t="shared" si="31"/>
        <v>100</v>
      </c>
    </row>
    <row r="164" spans="1:6" ht="46.8" x14ac:dyDescent="0.3">
      <c r="A164" s="1150"/>
      <c r="B164" s="1116" t="s">
        <v>1393</v>
      </c>
      <c r="C164" s="793">
        <v>6.2</v>
      </c>
      <c r="D164" s="793">
        <v>6.3</v>
      </c>
      <c r="E164" s="793">
        <v>6.3</v>
      </c>
      <c r="F164" s="783">
        <f t="shared" si="31"/>
        <v>100</v>
      </c>
    </row>
    <row r="165" spans="1:6" ht="46.8" x14ac:dyDescent="0.3">
      <c r="A165" s="1150"/>
      <c r="B165" s="1116" t="s">
        <v>1394</v>
      </c>
      <c r="C165" s="793">
        <v>16.2</v>
      </c>
      <c r="D165" s="793">
        <v>16.600000000000001</v>
      </c>
      <c r="E165" s="793">
        <v>16.600000000000001</v>
      </c>
      <c r="F165" s="783">
        <f t="shared" si="31"/>
        <v>100</v>
      </c>
    </row>
    <row r="166" spans="1:6" ht="46.8" x14ac:dyDescent="0.3">
      <c r="A166" s="1150"/>
      <c r="B166" s="1116" t="s">
        <v>1395</v>
      </c>
      <c r="C166" s="793">
        <v>453.3</v>
      </c>
      <c r="D166" s="793">
        <v>465.2</v>
      </c>
      <c r="E166" s="793">
        <v>465.2</v>
      </c>
      <c r="F166" s="783">
        <f t="shared" si="31"/>
        <v>100</v>
      </c>
    </row>
    <row r="167" spans="1:6" ht="52.2" x14ac:dyDescent="0.3">
      <c r="A167" s="1152" t="s">
        <v>1396</v>
      </c>
      <c r="B167" s="1117" t="s">
        <v>1397</v>
      </c>
      <c r="C167" s="797">
        <v>1805.3</v>
      </c>
      <c r="D167" s="797">
        <v>1895.9</v>
      </c>
      <c r="E167" s="797">
        <v>1895.9</v>
      </c>
      <c r="F167" s="784">
        <f t="shared" si="31"/>
        <v>100</v>
      </c>
    </row>
    <row r="168" spans="1:6" ht="69.599999999999994" x14ac:dyDescent="0.3">
      <c r="A168" s="1153" t="s">
        <v>1398</v>
      </c>
      <c r="B168" s="1117" t="s">
        <v>1399</v>
      </c>
      <c r="C168" s="797">
        <v>2.2999999999999998</v>
      </c>
      <c r="D168" s="797">
        <v>2.2999999999999998</v>
      </c>
      <c r="E168" s="797">
        <v>2.2999999999999998</v>
      </c>
      <c r="F168" s="784">
        <f t="shared" si="31"/>
        <v>100</v>
      </c>
    </row>
    <row r="169" spans="1:6" ht="34.799999999999997" x14ac:dyDescent="0.3">
      <c r="A169" s="1148" t="s">
        <v>1400</v>
      </c>
      <c r="B169" s="1117" t="s">
        <v>1401</v>
      </c>
      <c r="C169" s="797">
        <v>1159.2</v>
      </c>
      <c r="D169" s="797">
        <v>1381.8</v>
      </c>
      <c r="E169" s="797">
        <v>1381.8</v>
      </c>
      <c r="F169" s="784">
        <f t="shared" si="31"/>
        <v>100</v>
      </c>
    </row>
    <row r="170" spans="1:6" ht="17.399999999999999" x14ac:dyDescent="0.3">
      <c r="A170" s="1148" t="s">
        <v>1402</v>
      </c>
      <c r="B170" s="1117" t="s">
        <v>1403</v>
      </c>
      <c r="C170" s="797">
        <f>SUM(C172:C172)</f>
        <v>93</v>
      </c>
      <c r="D170" s="797">
        <f>SUM(D172:D172)</f>
        <v>120.49891</v>
      </c>
      <c r="E170" s="797">
        <f>SUM(E172:E172)</f>
        <v>120.49891</v>
      </c>
      <c r="F170" s="784">
        <f t="shared" si="31"/>
        <v>100</v>
      </c>
    </row>
    <row r="171" spans="1:6" ht="18" x14ac:dyDescent="0.3">
      <c r="A171" s="1149"/>
      <c r="B171" s="1124" t="s">
        <v>110</v>
      </c>
      <c r="C171" s="801"/>
      <c r="D171" s="801"/>
      <c r="E171" s="801"/>
      <c r="F171" s="783"/>
    </row>
    <row r="172" spans="1:6" ht="46.8" x14ac:dyDescent="0.3">
      <c r="A172" s="1149"/>
      <c r="B172" s="1118" t="s">
        <v>1404</v>
      </c>
      <c r="C172" s="793">
        <v>93</v>
      </c>
      <c r="D172" s="793">
        <v>120.49891</v>
      </c>
      <c r="E172" s="793">
        <v>120.49891</v>
      </c>
      <c r="F172" s="783">
        <f t="shared" si="31"/>
        <v>100</v>
      </c>
    </row>
    <row r="173" spans="1:6" ht="18" x14ac:dyDescent="0.3">
      <c r="A173" s="1135" t="s">
        <v>1405</v>
      </c>
      <c r="B173" s="1129" t="s">
        <v>1406</v>
      </c>
      <c r="C173" s="759">
        <f>C177+C176+C174+C175</f>
        <v>30037.077500000003</v>
      </c>
      <c r="D173" s="759">
        <f t="shared" ref="D173:E173" si="36">D177+D176+D174+D175</f>
        <v>40786.402300000002</v>
      </c>
      <c r="E173" s="759">
        <f t="shared" si="36"/>
        <v>39654.57531</v>
      </c>
      <c r="F173" s="796">
        <f t="shared" si="31"/>
        <v>97.224989393094859</v>
      </c>
    </row>
    <row r="174" spans="1:6" s="165" customFormat="1" ht="46.8" x14ac:dyDescent="0.3">
      <c r="A174" s="1148" t="s">
        <v>1407</v>
      </c>
      <c r="B174" s="1130" t="s">
        <v>1408</v>
      </c>
      <c r="C174" s="797">
        <v>428.48340000000002</v>
      </c>
      <c r="D174" s="797">
        <v>429.77019999999999</v>
      </c>
      <c r="E174" s="799">
        <v>429.77019999999999</v>
      </c>
      <c r="F174" s="792">
        <f t="shared" si="31"/>
        <v>100</v>
      </c>
    </row>
    <row r="175" spans="1:6" s="165" customFormat="1" ht="109.2" x14ac:dyDescent="0.3">
      <c r="A175" s="1148" t="s">
        <v>1409</v>
      </c>
      <c r="B175" s="1130" t="s">
        <v>1410</v>
      </c>
      <c r="C175" s="797">
        <v>0</v>
      </c>
      <c r="D175" s="797">
        <v>267</v>
      </c>
      <c r="E175" s="799">
        <v>267</v>
      </c>
      <c r="F175" s="792">
        <f t="shared" si="31"/>
        <v>100</v>
      </c>
    </row>
    <row r="176" spans="1:6" ht="46.8" x14ac:dyDescent="0.3">
      <c r="A176" s="1148" t="s">
        <v>1411</v>
      </c>
      <c r="B176" s="1130" t="s">
        <v>1412</v>
      </c>
      <c r="C176" s="797">
        <v>11589.1</v>
      </c>
      <c r="D176" s="797">
        <v>21740.799999999999</v>
      </c>
      <c r="E176" s="797">
        <v>21740.799999999999</v>
      </c>
      <c r="F176" s="792">
        <f t="shared" si="31"/>
        <v>100</v>
      </c>
    </row>
    <row r="177" spans="1:6" ht="31.2" x14ac:dyDescent="0.3">
      <c r="A177" s="1148" t="s">
        <v>1413</v>
      </c>
      <c r="B177" s="1130" t="s">
        <v>1414</v>
      </c>
      <c r="C177" s="797">
        <f>SUM(C179:C185)</f>
        <v>18019.4941</v>
      </c>
      <c r="D177" s="797">
        <f>SUM(D179:D185)</f>
        <v>18348.8321</v>
      </c>
      <c r="E177" s="797">
        <f>SUM(E179:E185)</f>
        <v>17217.005110000002</v>
      </c>
      <c r="F177" s="792">
        <f t="shared" si="31"/>
        <v>93.831612912300841</v>
      </c>
    </row>
    <row r="178" spans="1:6" ht="18" x14ac:dyDescent="0.3">
      <c r="A178" s="1148"/>
      <c r="B178" s="1124" t="s">
        <v>110</v>
      </c>
      <c r="C178" s="797"/>
      <c r="D178" s="797"/>
      <c r="E178" s="797"/>
      <c r="F178" s="783"/>
    </row>
    <row r="179" spans="1:6" s="794" customFormat="1" ht="31.2" x14ac:dyDescent="0.3">
      <c r="A179" s="1150"/>
      <c r="B179" s="1118" t="s">
        <v>1415</v>
      </c>
      <c r="C179" s="793">
        <v>360.55410000000001</v>
      </c>
      <c r="D179" s="793">
        <v>360.55410000000001</v>
      </c>
      <c r="E179" s="793">
        <v>360.55410000000001</v>
      </c>
      <c r="F179" s="803">
        <f t="shared" si="31"/>
        <v>100</v>
      </c>
    </row>
    <row r="180" spans="1:6" s="794" customFormat="1" ht="46.8" x14ac:dyDescent="0.3">
      <c r="A180" s="1150"/>
      <c r="B180" s="1118" t="s">
        <v>1416</v>
      </c>
      <c r="C180" s="793">
        <v>0</v>
      </c>
      <c r="D180" s="793">
        <v>610</v>
      </c>
      <c r="E180" s="793">
        <v>610</v>
      </c>
      <c r="F180" s="803">
        <f t="shared" si="31"/>
        <v>100</v>
      </c>
    </row>
    <row r="181" spans="1:6" s="794" customFormat="1" ht="46.8" x14ac:dyDescent="0.3">
      <c r="A181" s="1150"/>
      <c r="B181" s="1118" t="s">
        <v>1417</v>
      </c>
      <c r="C181" s="793">
        <v>11596.8</v>
      </c>
      <c r="D181" s="793">
        <v>11485.477999999999</v>
      </c>
      <c r="E181" s="793">
        <v>11485.477010000001</v>
      </c>
      <c r="F181" s="803">
        <f t="shared" si="31"/>
        <v>99.999991380419701</v>
      </c>
    </row>
    <row r="182" spans="1:6" s="794" customFormat="1" ht="18" x14ac:dyDescent="0.3">
      <c r="A182" s="1150"/>
      <c r="B182" s="1118" t="s">
        <v>1418</v>
      </c>
      <c r="C182" s="793">
        <v>5012.1400000000003</v>
      </c>
      <c r="D182" s="793">
        <v>2350.1</v>
      </c>
      <c r="E182" s="793">
        <v>1218.2739999999999</v>
      </c>
      <c r="F182" s="803">
        <f t="shared" si="31"/>
        <v>51.839240883366664</v>
      </c>
    </row>
    <row r="183" spans="1:6" s="794" customFormat="1" ht="45" customHeight="1" x14ac:dyDescent="0.3">
      <c r="A183" s="1150"/>
      <c r="B183" s="1118" t="s">
        <v>1419</v>
      </c>
      <c r="C183" s="793">
        <v>1050</v>
      </c>
      <c r="D183" s="793">
        <v>2910</v>
      </c>
      <c r="E183" s="793">
        <v>2910</v>
      </c>
      <c r="F183" s="803">
        <f t="shared" si="31"/>
        <v>100</v>
      </c>
    </row>
    <row r="184" spans="1:6" s="794" customFormat="1" ht="46.8" x14ac:dyDescent="0.3">
      <c r="A184" s="1150"/>
      <c r="B184" s="1118" t="s">
        <v>1420</v>
      </c>
      <c r="C184" s="793">
        <v>0</v>
      </c>
      <c r="D184" s="793">
        <v>602.70000000000005</v>
      </c>
      <c r="E184" s="793">
        <v>602.70000000000005</v>
      </c>
      <c r="F184" s="803">
        <f t="shared" si="31"/>
        <v>100</v>
      </c>
    </row>
    <row r="185" spans="1:6" s="794" customFormat="1" ht="31.2" x14ac:dyDescent="0.3">
      <c r="A185" s="1150"/>
      <c r="B185" s="1118" t="s">
        <v>1421</v>
      </c>
      <c r="C185" s="793">
        <v>0</v>
      </c>
      <c r="D185" s="793">
        <v>30</v>
      </c>
      <c r="E185" s="793">
        <v>30</v>
      </c>
      <c r="F185" s="803">
        <f t="shared" si="31"/>
        <v>100</v>
      </c>
    </row>
    <row r="186" spans="1:6" s="794" customFormat="1" ht="34.799999999999997" x14ac:dyDescent="0.3">
      <c r="A186" s="1144" t="s">
        <v>1422</v>
      </c>
      <c r="B186" s="1115" t="s">
        <v>1423</v>
      </c>
      <c r="C186" s="804">
        <f>C187</f>
        <v>80.2</v>
      </c>
      <c r="D186" s="804">
        <f t="shared" ref="D186:E186" si="37">D187</f>
        <v>80.2</v>
      </c>
      <c r="E186" s="804">
        <f t="shared" si="37"/>
        <v>80.195930000000004</v>
      </c>
      <c r="F186" s="805">
        <f>E186/D186*100</f>
        <v>99.994925187032422</v>
      </c>
    </row>
    <row r="187" spans="1:6" s="794" customFormat="1" ht="31.2" x14ac:dyDescent="0.3">
      <c r="A187" s="1137" t="s">
        <v>1424</v>
      </c>
      <c r="B187" s="1118" t="s">
        <v>1425</v>
      </c>
      <c r="C187" s="793">
        <v>80.2</v>
      </c>
      <c r="D187" s="793">
        <v>80.2</v>
      </c>
      <c r="E187" s="793">
        <v>80.195930000000004</v>
      </c>
      <c r="F187" s="803">
        <f>E187/C187*100</f>
        <v>99.994925187032422</v>
      </c>
    </row>
    <row r="188" spans="1:6" s="794" customFormat="1" ht="17.399999999999999" x14ac:dyDescent="0.3">
      <c r="A188" s="1144" t="s">
        <v>1426</v>
      </c>
      <c r="B188" s="1115" t="s">
        <v>1427</v>
      </c>
      <c r="C188" s="804">
        <f>C189</f>
        <v>55</v>
      </c>
      <c r="D188" s="804">
        <f t="shared" ref="D188:E188" si="38">D189</f>
        <v>55</v>
      </c>
      <c r="E188" s="804">
        <f t="shared" si="38"/>
        <v>55</v>
      </c>
      <c r="F188" s="805">
        <f>E188/D188*100</f>
        <v>100</v>
      </c>
    </row>
    <row r="189" spans="1:6" s="794" customFormat="1" ht="18" x14ac:dyDescent="0.3">
      <c r="A189" s="1137" t="s">
        <v>1428</v>
      </c>
      <c r="B189" s="1118" t="s">
        <v>1429</v>
      </c>
      <c r="C189" s="793">
        <v>55</v>
      </c>
      <c r="D189" s="793">
        <v>55</v>
      </c>
      <c r="E189" s="793">
        <v>55</v>
      </c>
      <c r="F189" s="803">
        <f>E189/D189*100</f>
        <v>100</v>
      </c>
    </row>
    <row r="190" spans="1:6" s="794" customFormat="1" ht="69.599999999999994" x14ac:dyDescent="0.3">
      <c r="A190" s="1144" t="s">
        <v>1430</v>
      </c>
      <c r="B190" s="1131" t="s">
        <v>1431</v>
      </c>
      <c r="C190" s="806">
        <f>C191</f>
        <v>1028.9000000000001</v>
      </c>
      <c r="D190" s="806">
        <f>D191</f>
        <v>1028.9000000000001</v>
      </c>
      <c r="E190" s="806">
        <f>E191</f>
        <v>1298.1925100000001</v>
      </c>
      <c r="F190" s="805">
        <f t="shared" si="31"/>
        <v>126.1728554767227</v>
      </c>
    </row>
    <row r="191" spans="1:6" s="794" customFormat="1" ht="31.2" x14ac:dyDescent="0.3">
      <c r="A191" s="1137" t="s">
        <v>1432</v>
      </c>
      <c r="B191" s="1118" t="s">
        <v>1433</v>
      </c>
      <c r="C191" s="793">
        <v>1028.9000000000001</v>
      </c>
      <c r="D191" s="793">
        <v>1028.9000000000001</v>
      </c>
      <c r="E191" s="793">
        <v>1298.1925100000001</v>
      </c>
      <c r="F191" s="783">
        <f t="shared" si="31"/>
        <v>126.1728554767227</v>
      </c>
    </row>
    <row r="192" spans="1:6" ht="52.2" x14ac:dyDescent="0.3">
      <c r="A192" s="1144" t="s">
        <v>1434</v>
      </c>
      <c r="B192" s="1131" t="s">
        <v>1435</v>
      </c>
      <c r="C192" s="806">
        <f>SUM(C193:C196)</f>
        <v>-3085.9984199999999</v>
      </c>
      <c r="D192" s="806">
        <f t="shared" ref="D192:E192" si="39">SUM(D193:D196)</f>
        <v>-3085.9984199999999</v>
      </c>
      <c r="E192" s="806">
        <f t="shared" si="39"/>
        <v>-3328.3197700000001</v>
      </c>
      <c r="F192" s="805">
        <f t="shared" si="31"/>
        <v>107.85228367032022</v>
      </c>
    </row>
    <row r="193" spans="1:6" s="794" customFormat="1" ht="31.2" x14ac:dyDescent="0.3">
      <c r="A193" s="1154" t="s">
        <v>1436</v>
      </c>
      <c r="B193" s="1132" t="s">
        <v>1437</v>
      </c>
      <c r="C193" s="793">
        <v>0</v>
      </c>
      <c r="D193" s="793">
        <v>0</v>
      </c>
      <c r="E193" s="793">
        <v>-242.32135</v>
      </c>
      <c r="F193" s="783">
        <v>0</v>
      </c>
    </row>
    <row r="194" spans="1:6" s="794" customFormat="1" ht="109.2" x14ac:dyDescent="0.3">
      <c r="A194" s="1154" t="s">
        <v>1438</v>
      </c>
      <c r="B194" s="1132" t="s">
        <v>1439</v>
      </c>
      <c r="C194" s="793">
        <v>-5.7875100000000002</v>
      </c>
      <c r="D194" s="793">
        <v>-5.7875100000000002</v>
      </c>
      <c r="E194" s="793">
        <v>-5.7875100000000002</v>
      </c>
      <c r="F194" s="783">
        <f t="shared" ref="F194:F199" si="40">E194/D194*100</f>
        <v>100</v>
      </c>
    </row>
    <row r="195" spans="1:6" s="794" customFormat="1" ht="93.6" x14ac:dyDescent="0.3">
      <c r="A195" s="1154" t="s">
        <v>1440</v>
      </c>
      <c r="B195" s="1132" t="s">
        <v>1441</v>
      </c>
      <c r="C195" s="793">
        <v>-96.141210000000001</v>
      </c>
      <c r="D195" s="793">
        <v>-96.141210000000001</v>
      </c>
      <c r="E195" s="793">
        <v>-96.141210000000001</v>
      </c>
      <c r="F195" s="783">
        <f t="shared" si="40"/>
        <v>100</v>
      </c>
    </row>
    <row r="196" spans="1:6" s="794" customFormat="1" ht="31.2" x14ac:dyDescent="0.3">
      <c r="A196" s="1137" t="s">
        <v>1442</v>
      </c>
      <c r="B196" s="1118" t="s">
        <v>1443</v>
      </c>
      <c r="C196" s="793">
        <v>-2984.0697</v>
      </c>
      <c r="D196" s="793">
        <v>-2984.0697</v>
      </c>
      <c r="E196" s="793">
        <v>-2984.0697</v>
      </c>
      <c r="F196" s="783">
        <f t="shared" si="40"/>
        <v>100</v>
      </c>
    </row>
    <row r="197" spans="1:6" ht="18" x14ac:dyDescent="0.3">
      <c r="A197" s="1150"/>
      <c r="B197" s="1133" t="s">
        <v>1444</v>
      </c>
      <c r="C197" s="802">
        <f>C11+C106</f>
        <v>1186405.0731999998</v>
      </c>
      <c r="D197" s="802">
        <f>D11+D106</f>
        <v>1336999.0710699998</v>
      </c>
      <c r="E197" s="802">
        <f>E11+E106</f>
        <v>1294580.1178599999</v>
      </c>
      <c r="F197" s="784">
        <f t="shared" si="40"/>
        <v>96.827301220482369</v>
      </c>
    </row>
    <row r="198" spans="1:6" ht="18" hidden="1" x14ac:dyDescent="0.3">
      <c r="A198" s="1155"/>
      <c r="F198" s="808" t="e">
        <f t="shared" si="40"/>
        <v>#DIV/0!</v>
      </c>
    </row>
    <row r="199" spans="1:6" ht="18" hidden="1" x14ac:dyDescent="0.3">
      <c r="A199" s="1155"/>
      <c r="F199" s="809" t="e">
        <f t="shared" si="40"/>
        <v>#DIV/0!</v>
      </c>
    </row>
    <row r="200" spans="1:6" x14ac:dyDescent="0.3">
      <c r="A200" s="1155"/>
    </row>
    <row r="201" spans="1:6" x14ac:dyDescent="0.3">
      <c r="A201" s="1155"/>
    </row>
  </sheetData>
  <mergeCells count="11">
    <mergeCell ref="F7:F9"/>
    <mergeCell ref="D1:F1"/>
    <mergeCell ref="A2:F2"/>
    <mergeCell ref="A3:F3"/>
    <mergeCell ref="D4:F4"/>
    <mergeCell ref="A5:F5"/>
    <mergeCell ref="A7:A9"/>
    <mergeCell ref="B7:B9"/>
    <mergeCell ref="C7:C9"/>
    <mergeCell ref="D7:D9"/>
    <mergeCell ref="E7:E9"/>
  </mergeCells>
  <pageMargins left="1.1811023622047245" right="0.39370078740157483" top="0.19685039370078741" bottom="0.19685039370078741" header="0" footer="0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35"/>
  <sheetViews>
    <sheetView view="pageBreakPreview" zoomScale="89" zoomScaleSheetLayoutView="89" workbookViewId="0">
      <selection activeCell="A6" sqref="A6:H6"/>
    </sheetView>
  </sheetViews>
  <sheetFormatPr defaultColWidth="9.109375" defaultRowHeight="15.6" x14ac:dyDescent="0.25"/>
  <cols>
    <col min="1" max="1" width="9.44140625" style="567" bestFit="1" customWidth="1"/>
    <col min="2" max="2" width="13.5546875" style="567" customWidth="1"/>
    <col min="3" max="3" width="54.109375" style="541" customWidth="1"/>
    <col min="4" max="5" width="15.44140625" style="568" customWidth="1"/>
    <col min="6" max="6" width="15" style="568" customWidth="1"/>
    <col min="7" max="7" width="9.33203125" style="568" customWidth="1"/>
    <col min="8" max="8" width="15.6640625" style="569" customWidth="1"/>
    <col min="9" max="9" width="10" style="541" customWidth="1"/>
    <col min="10" max="16384" width="9.109375" style="541"/>
  </cols>
  <sheetData>
    <row r="1" spans="1:9" ht="15.75" customHeight="1" x14ac:dyDescent="0.25">
      <c r="A1" s="539"/>
      <c r="B1" s="539"/>
      <c r="C1" s="449"/>
      <c r="D1" s="540"/>
      <c r="E1" s="540"/>
      <c r="F1" s="540"/>
      <c r="G1" s="913" t="s">
        <v>935</v>
      </c>
      <c r="H1" s="913"/>
    </row>
    <row r="2" spans="1:9" ht="15.75" customHeight="1" x14ac:dyDescent="0.25">
      <c r="A2" s="913" t="s">
        <v>909</v>
      </c>
      <c r="B2" s="913"/>
      <c r="C2" s="913"/>
      <c r="D2" s="913"/>
      <c r="E2" s="913"/>
      <c r="F2" s="913"/>
      <c r="G2" s="913"/>
      <c r="H2" s="913"/>
    </row>
    <row r="3" spans="1:9" ht="15.75" customHeight="1" x14ac:dyDescent="0.25">
      <c r="A3" s="914" t="s">
        <v>1031</v>
      </c>
      <c r="B3" s="914"/>
      <c r="C3" s="914"/>
      <c r="D3" s="914"/>
      <c r="E3" s="914"/>
      <c r="F3" s="914"/>
      <c r="G3" s="914"/>
      <c r="H3" s="914"/>
    </row>
    <row r="4" spans="1:9" ht="15.75" customHeight="1" x14ac:dyDescent="0.25">
      <c r="A4" s="542"/>
      <c r="B4" s="542"/>
      <c r="C4" s="542"/>
      <c r="D4" s="542"/>
      <c r="E4" s="542"/>
      <c r="F4" s="542"/>
      <c r="G4" s="915" t="s">
        <v>1561</v>
      </c>
      <c r="H4" s="915"/>
    </row>
    <row r="5" spans="1:9" x14ac:dyDescent="0.3">
      <c r="A5" s="916" t="s">
        <v>950</v>
      </c>
      <c r="B5" s="916"/>
      <c r="C5" s="916"/>
      <c r="D5" s="916"/>
      <c r="E5" s="916"/>
      <c r="F5" s="916"/>
      <c r="G5" s="916"/>
      <c r="H5" s="916"/>
    </row>
    <row r="6" spans="1:9" ht="13.5" customHeight="1" x14ac:dyDescent="0.3">
      <c r="A6" s="912" t="s">
        <v>951</v>
      </c>
      <c r="B6" s="912"/>
      <c r="C6" s="912"/>
      <c r="D6" s="912"/>
      <c r="E6" s="912"/>
      <c r="F6" s="912"/>
      <c r="G6" s="912"/>
      <c r="H6" s="912"/>
    </row>
    <row r="7" spans="1:9" x14ac:dyDescent="0.3">
      <c r="A7" s="916" t="s">
        <v>1036</v>
      </c>
      <c r="B7" s="916"/>
      <c r="C7" s="916"/>
      <c r="D7" s="916"/>
      <c r="E7" s="916"/>
      <c r="F7" s="916"/>
      <c r="G7" s="916"/>
      <c r="H7" s="916"/>
    </row>
    <row r="8" spans="1:9" x14ac:dyDescent="0.25">
      <c r="A8" s="539"/>
      <c r="B8" s="539"/>
      <c r="C8" s="449"/>
      <c r="D8" s="540"/>
      <c r="E8" s="540"/>
      <c r="F8" s="540"/>
      <c r="G8" s="540"/>
      <c r="H8" s="543" t="s">
        <v>910</v>
      </c>
    </row>
    <row r="9" spans="1:9" ht="63.75" customHeight="1" x14ac:dyDescent="0.25">
      <c r="A9" s="917" t="s">
        <v>560</v>
      </c>
      <c r="B9" s="917" t="s">
        <v>559</v>
      </c>
      <c r="C9" s="918" t="s">
        <v>952</v>
      </c>
      <c r="D9" s="918" t="s">
        <v>852</v>
      </c>
      <c r="E9" s="918" t="s">
        <v>891</v>
      </c>
      <c r="F9" s="919" t="s">
        <v>953</v>
      </c>
      <c r="G9" s="918" t="s">
        <v>854</v>
      </c>
      <c r="H9" s="918" t="s">
        <v>954</v>
      </c>
      <c r="I9" s="733">
        <v>104050.3</v>
      </c>
    </row>
    <row r="10" spans="1:9" ht="38.25" customHeight="1" x14ac:dyDescent="0.25">
      <c r="A10" s="917"/>
      <c r="B10" s="917"/>
      <c r="C10" s="918"/>
      <c r="D10" s="918"/>
      <c r="E10" s="918"/>
      <c r="F10" s="920"/>
      <c r="G10" s="918"/>
      <c r="H10" s="918"/>
      <c r="I10" s="544"/>
    </row>
    <row r="11" spans="1:9" x14ac:dyDescent="0.25">
      <c r="A11" s="405">
        <v>1</v>
      </c>
      <c r="B11" s="405">
        <v>2</v>
      </c>
      <c r="C11" s="446">
        <v>3</v>
      </c>
      <c r="D11" s="446">
        <v>4</v>
      </c>
      <c r="E11" s="446">
        <v>5</v>
      </c>
      <c r="F11" s="446"/>
      <c r="G11" s="446">
        <v>6</v>
      </c>
      <c r="H11" s="545">
        <v>7</v>
      </c>
    </row>
    <row r="12" spans="1:9" x14ac:dyDescent="0.25">
      <c r="A12" s="546"/>
      <c r="B12" s="546"/>
      <c r="C12" s="547" t="s">
        <v>955</v>
      </c>
      <c r="D12" s="548">
        <v>1363120.3638300002</v>
      </c>
      <c r="E12" s="548">
        <v>1268542.5757800003</v>
      </c>
      <c r="F12" s="548">
        <v>969468.64604000002</v>
      </c>
      <c r="G12" s="549">
        <f>SUM(E12/D12*100)</f>
        <v>93.061670079943497</v>
      </c>
      <c r="H12" s="545"/>
    </row>
    <row r="13" spans="1:9" ht="31.2" x14ac:dyDescent="0.25">
      <c r="A13" s="546"/>
      <c r="B13" s="546"/>
      <c r="C13" s="547" t="s">
        <v>956</v>
      </c>
      <c r="D13" s="550">
        <f>D15+D30+D32+D34+D25</f>
        <v>92441.01999999999</v>
      </c>
      <c r="E13" s="550">
        <f>E15+E30+E32+E34+E25</f>
        <v>92270.788132000001</v>
      </c>
      <c r="F13" s="548">
        <f>F15+F30+F32+F34+F25</f>
        <v>91224.919953999997</v>
      </c>
      <c r="G13" s="549">
        <f>SUM(E13/D13*100)</f>
        <v>99.815848128893435</v>
      </c>
      <c r="H13" s="545"/>
      <c r="I13" s="551"/>
    </row>
    <row r="14" spans="1:9" ht="31.2" x14ac:dyDescent="0.25">
      <c r="A14" s="546"/>
      <c r="B14" s="546"/>
      <c r="C14" s="547" t="s">
        <v>957</v>
      </c>
      <c r="D14" s="550">
        <f>SUM(D13/D12*100)</f>
        <v>6.7815742800779306</v>
      </c>
      <c r="E14" s="550">
        <f>SUM(E13/E12*100)</f>
        <v>7.2737636003477952</v>
      </c>
      <c r="F14" s="552">
        <f>SUM(F13/F12*100)</f>
        <v>9.4097854867846937</v>
      </c>
      <c r="G14" s="549"/>
      <c r="H14" s="545"/>
    </row>
    <row r="15" spans="1:9" x14ac:dyDescent="0.25">
      <c r="A15" s="921" t="s">
        <v>958</v>
      </c>
      <c r="B15" s="921"/>
      <c r="C15" s="921"/>
      <c r="D15" s="553">
        <f>SUM(D16:D24)</f>
        <v>69617.51999999999</v>
      </c>
      <c r="E15" s="553">
        <f>SUM(E16:E24)</f>
        <v>69447.288132000001</v>
      </c>
      <c r="F15" s="736">
        <f>SUM(F16:F24)</f>
        <v>68541.981953999988</v>
      </c>
      <c r="G15" s="554">
        <f>SUM(E15/D15*100)</f>
        <v>99.755475535468676</v>
      </c>
      <c r="H15" s="555">
        <f>E15/E13*100</f>
        <v>75.264652592595894</v>
      </c>
    </row>
    <row r="16" spans="1:9" ht="46.8" x14ac:dyDescent="0.25">
      <c r="A16" s="556" t="s">
        <v>555</v>
      </c>
      <c r="B16" s="556" t="s">
        <v>959</v>
      </c>
      <c r="C16" s="557" t="s">
        <v>960</v>
      </c>
      <c r="D16" s="559">
        <f>'2.Расходы по вед.'!G18</f>
        <v>2911.1</v>
      </c>
      <c r="E16" s="559">
        <f>'2.Расходы по вед.'!H18</f>
        <v>2911.1</v>
      </c>
      <c r="F16" s="737">
        <v>2807.77</v>
      </c>
      <c r="G16" s="560">
        <f>SUM(E16/D16*100)</f>
        <v>100</v>
      </c>
      <c r="H16" s="545"/>
    </row>
    <row r="17" spans="1:9" ht="46.8" x14ac:dyDescent="0.25">
      <c r="A17" s="556" t="s">
        <v>551</v>
      </c>
      <c r="B17" s="556" t="s">
        <v>961</v>
      </c>
      <c r="C17" s="557" t="s">
        <v>962</v>
      </c>
      <c r="D17" s="559">
        <f>'2.Расходы по вед.'!G30</f>
        <v>48039.199999999997</v>
      </c>
      <c r="E17" s="558">
        <f>'2.Расходы по вед.'!H30</f>
        <v>48024.602729999999</v>
      </c>
      <c r="F17" s="737">
        <v>47356.233</v>
      </c>
      <c r="G17" s="560">
        <f>SUM(E17/D17*100)</f>
        <v>99.969613836200438</v>
      </c>
      <c r="H17" s="545"/>
    </row>
    <row r="18" spans="1:9" ht="93.6" x14ac:dyDescent="0.25">
      <c r="A18" s="556" t="s">
        <v>20</v>
      </c>
      <c r="B18" s="556" t="s">
        <v>963</v>
      </c>
      <c r="C18" s="562" t="s">
        <v>964</v>
      </c>
      <c r="D18" s="559">
        <f>'2.Расходы по вед.'!G79</f>
        <v>1771.7</v>
      </c>
      <c r="E18" s="558">
        <f>'2.Расходы по вед.'!H79</f>
        <v>1771.21</v>
      </c>
      <c r="F18" s="738">
        <v>1636.78</v>
      </c>
      <c r="G18" s="560">
        <f t="shared" ref="G18:G24" si="0">E18/D18*100</f>
        <v>99.972342947451594</v>
      </c>
      <c r="H18" s="545"/>
      <c r="I18" s="563"/>
    </row>
    <row r="19" spans="1:9" ht="46.8" x14ac:dyDescent="0.25">
      <c r="A19" s="556" t="s">
        <v>20</v>
      </c>
      <c r="B19" s="556" t="s">
        <v>1037</v>
      </c>
      <c r="C19" s="562" t="s">
        <v>965</v>
      </c>
      <c r="D19" s="559">
        <f>'2.Расходы по вед.'!G81</f>
        <v>69.400000000000006</v>
      </c>
      <c r="E19" s="558">
        <f>'2.Расходы по вед.'!H81</f>
        <v>69.400000000000006</v>
      </c>
      <c r="F19" s="738">
        <v>69.400000000000006</v>
      </c>
      <c r="G19" s="560">
        <f t="shared" si="0"/>
        <v>100</v>
      </c>
      <c r="H19" s="545"/>
      <c r="I19" s="563"/>
    </row>
    <row r="20" spans="1:9" x14ac:dyDescent="0.25">
      <c r="A20" s="556" t="s">
        <v>20</v>
      </c>
      <c r="B20" s="556" t="s">
        <v>966</v>
      </c>
      <c r="C20" s="562" t="s">
        <v>512</v>
      </c>
      <c r="D20" s="559">
        <f>'2.Расходы по вед.'!F90</f>
        <v>133.30000000000001</v>
      </c>
      <c r="E20" s="558">
        <f>'2.Расходы по вед.'!H90</f>
        <v>133.30000000000001</v>
      </c>
      <c r="F20" s="738">
        <v>133.30000000000001</v>
      </c>
      <c r="G20" s="560">
        <f t="shared" ref="G20:G21" si="1">SUM(E20/D20*100)</f>
        <v>100</v>
      </c>
      <c r="H20" s="545"/>
      <c r="I20" s="563"/>
    </row>
    <row r="21" spans="1:9" x14ac:dyDescent="0.25">
      <c r="A21" s="556" t="s">
        <v>20</v>
      </c>
      <c r="B21" s="556" t="s">
        <v>967</v>
      </c>
      <c r="C21" s="562" t="s">
        <v>948</v>
      </c>
      <c r="D21" s="559">
        <f>'2.Расходы по вед.'!G92</f>
        <v>118.7</v>
      </c>
      <c r="E21" s="558">
        <f>'2.Расходы по вед.'!H92</f>
        <v>118.7</v>
      </c>
      <c r="F21" s="738">
        <v>118.7</v>
      </c>
      <c r="G21" s="560">
        <f t="shared" si="1"/>
        <v>100</v>
      </c>
      <c r="H21" s="545"/>
      <c r="I21" s="563"/>
    </row>
    <row r="22" spans="1:9" ht="39.75" customHeight="1" x14ac:dyDescent="0.25">
      <c r="A22" s="556" t="s">
        <v>20</v>
      </c>
      <c r="B22" s="556" t="s">
        <v>968</v>
      </c>
      <c r="C22" s="562" t="s">
        <v>969</v>
      </c>
      <c r="D22" s="559">
        <f>'2.Расходы по вед.'!G101*0.4</f>
        <v>15964.120000000003</v>
      </c>
      <c r="E22" s="559">
        <f>'2.Расходы по вед.'!H101*0.4</f>
        <v>15809.065232000001</v>
      </c>
      <c r="F22" s="737">
        <v>15830.532544</v>
      </c>
      <c r="G22" s="560">
        <f>E22/D22*100</f>
        <v>99.028729626186717</v>
      </c>
      <c r="H22" s="545"/>
      <c r="I22" s="561"/>
    </row>
    <row r="23" spans="1:9" ht="46.8" x14ac:dyDescent="0.25">
      <c r="A23" s="556" t="s">
        <v>20</v>
      </c>
      <c r="B23" s="556" t="s">
        <v>970</v>
      </c>
      <c r="C23" s="562" t="s">
        <v>42</v>
      </c>
      <c r="D23" s="559">
        <f>'2.Расходы по вед.'!G110</f>
        <v>300</v>
      </c>
      <c r="E23" s="558">
        <f>'2.Расходы по вед.'!H110</f>
        <v>299.91016999999999</v>
      </c>
      <c r="F23" s="737">
        <v>279.26641000000001</v>
      </c>
      <c r="G23" s="560">
        <f t="shared" si="0"/>
        <v>99.970056666666665</v>
      </c>
      <c r="H23" s="545"/>
      <c r="I23" s="563"/>
    </row>
    <row r="24" spans="1:9" ht="31.2" x14ac:dyDescent="0.25">
      <c r="A24" s="556" t="s">
        <v>20</v>
      </c>
      <c r="B24" s="556" t="s">
        <v>971</v>
      </c>
      <c r="C24" s="562" t="s">
        <v>504</v>
      </c>
      <c r="D24" s="559">
        <f>'2.Расходы по вед.'!G112</f>
        <v>310</v>
      </c>
      <c r="E24" s="558">
        <f>'2.Расходы по вед.'!H112</f>
        <v>310</v>
      </c>
      <c r="F24" s="738">
        <v>310</v>
      </c>
      <c r="G24" s="560">
        <f t="shared" si="0"/>
        <v>100</v>
      </c>
      <c r="H24" s="545"/>
      <c r="I24" s="563"/>
    </row>
    <row r="25" spans="1:9" x14ac:dyDescent="0.25">
      <c r="A25" s="921" t="s">
        <v>972</v>
      </c>
      <c r="B25" s="921"/>
      <c r="C25" s="921"/>
      <c r="D25" s="553">
        <f>SUM(D26:D29)</f>
        <v>3493.2000000000003</v>
      </c>
      <c r="E25" s="553">
        <f>SUM(E26:E29)</f>
        <v>3493.2000000000003</v>
      </c>
      <c r="F25" s="736">
        <f>SUM(F26:F29)</f>
        <v>3463.1220000000003</v>
      </c>
      <c r="G25" s="554">
        <f t="shared" ref="G25:G35" si="2">SUM(E25/D25*100)</f>
        <v>100</v>
      </c>
      <c r="H25" s="555">
        <f>E25/E17*100</f>
        <v>7.2737717782678679</v>
      </c>
    </row>
    <row r="26" spans="1:9" ht="31.2" x14ac:dyDescent="0.25">
      <c r="A26" s="556" t="s">
        <v>54</v>
      </c>
      <c r="B26" s="556" t="s">
        <v>973</v>
      </c>
      <c r="C26" s="562" t="s">
        <v>974</v>
      </c>
      <c r="D26" s="559">
        <f>'2.Расходы по вед.'!G867</f>
        <v>1164</v>
      </c>
      <c r="E26" s="558">
        <f>'2.Расходы по вед.'!H867</f>
        <v>1164</v>
      </c>
      <c r="F26" s="738">
        <v>1164</v>
      </c>
      <c r="G26" s="560">
        <f t="shared" si="2"/>
        <v>100</v>
      </c>
      <c r="H26" s="545"/>
    </row>
    <row r="27" spans="1:9" ht="35.25" customHeight="1" x14ac:dyDescent="0.25">
      <c r="A27" s="556" t="s">
        <v>54</v>
      </c>
      <c r="B27" s="556" t="s">
        <v>975</v>
      </c>
      <c r="C27" s="562" t="s">
        <v>976</v>
      </c>
      <c r="D27" s="559">
        <f>'2.Расходы по вед.'!G868</f>
        <v>2091.9</v>
      </c>
      <c r="E27" s="558">
        <f>'2.Расходы по вед.'!H868</f>
        <v>2091.9</v>
      </c>
      <c r="F27" s="737">
        <v>2078.5590000000002</v>
      </c>
      <c r="G27" s="560">
        <f t="shared" si="2"/>
        <v>100</v>
      </c>
      <c r="H27" s="545"/>
    </row>
    <row r="28" spans="1:9" ht="63.75" customHeight="1" x14ac:dyDescent="0.25">
      <c r="A28" s="556" t="s">
        <v>54</v>
      </c>
      <c r="B28" s="556" t="s">
        <v>1038</v>
      </c>
      <c r="C28" s="564" t="s">
        <v>690</v>
      </c>
      <c r="D28" s="559">
        <f>'2.Расходы по вед.'!G871</f>
        <v>87.3</v>
      </c>
      <c r="E28" s="558">
        <f>'2.Расходы по вед.'!H871</f>
        <v>87.3</v>
      </c>
      <c r="F28" s="737">
        <v>87.3</v>
      </c>
      <c r="G28" s="560">
        <f t="shared" si="2"/>
        <v>100</v>
      </c>
      <c r="H28" s="545"/>
    </row>
    <row r="29" spans="1:9" ht="35.25" customHeight="1" x14ac:dyDescent="0.25">
      <c r="A29" s="556" t="s">
        <v>54</v>
      </c>
      <c r="B29" s="556" t="s">
        <v>970</v>
      </c>
      <c r="C29" s="564" t="s">
        <v>42</v>
      </c>
      <c r="D29" s="559">
        <f>'2.Расходы по вед.'!G875</f>
        <v>150</v>
      </c>
      <c r="E29" s="558">
        <f>'2.Расходы по вед.'!H875</f>
        <v>150</v>
      </c>
      <c r="F29" s="737">
        <v>133.26300000000001</v>
      </c>
      <c r="G29" s="560">
        <f t="shared" si="2"/>
        <v>100</v>
      </c>
      <c r="H29" s="545"/>
    </row>
    <row r="30" spans="1:9" ht="36" customHeight="1" x14ac:dyDescent="0.25">
      <c r="A30" s="922" t="s">
        <v>977</v>
      </c>
      <c r="B30" s="923"/>
      <c r="C30" s="924"/>
      <c r="D30" s="553">
        <f>SUM(D31:D31)</f>
        <v>8507.4</v>
      </c>
      <c r="E30" s="553">
        <f>SUM(E31:E31)</f>
        <v>8507.4</v>
      </c>
      <c r="F30" s="736">
        <f>SUM(F31:F31)</f>
        <v>8517.8160000000007</v>
      </c>
      <c r="G30" s="554">
        <f t="shared" si="2"/>
        <v>100</v>
      </c>
      <c r="H30" s="565">
        <f>E30/E13*100</f>
        <v>9.2200361265252795</v>
      </c>
    </row>
    <row r="31" spans="1:9" ht="46.8" x14ac:dyDescent="0.25">
      <c r="A31" s="556" t="s">
        <v>38</v>
      </c>
      <c r="B31" s="556" t="s">
        <v>961</v>
      </c>
      <c r="C31" s="557" t="s">
        <v>962</v>
      </c>
      <c r="D31" s="559">
        <f>'2.Расходы по вед.'!G883</f>
        <v>8507.4</v>
      </c>
      <c r="E31" s="558">
        <f>'2.Расходы по вед.'!H883</f>
        <v>8507.4</v>
      </c>
      <c r="F31" s="737">
        <v>8517.8160000000007</v>
      </c>
      <c r="G31" s="560">
        <f t="shared" si="2"/>
        <v>100</v>
      </c>
      <c r="H31" s="545"/>
    </row>
    <row r="32" spans="1:9" ht="34.5" customHeight="1" x14ac:dyDescent="0.25">
      <c r="A32" s="921" t="s">
        <v>978</v>
      </c>
      <c r="B32" s="921"/>
      <c r="C32" s="921"/>
      <c r="D32" s="553">
        <f>SUM(D33:D33)</f>
        <v>7108.8</v>
      </c>
      <c r="E32" s="553">
        <f>SUM(E33:E33)</f>
        <v>7108.8</v>
      </c>
      <c r="F32" s="736">
        <f>SUM(F33:F33)</f>
        <v>6994.4049999999997</v>
      </c>
      <c r="G32" s="554">
        <f t="shared" si="2"/>
        <v>100</v>
      </c>
      <c r="H32" s="565">
        <f>E32/E13*100</f>
        <v>7.7042801344997187</v>
      </c>
    </row>
    <row r="33" spans="1:8" ht="46.8" x14ac:dyDescent="0.25">
      <c r="A33" s="556" t="s">
        <v>138</v>
      </c>
      <c r="B33" s="556" t="s">
        <v>961</v>
      </c>
      <c r="C33" s="557" t="s">
        <v>962</v>
      </c>
      <c r="D33" s="559">
        <f>'2.Расходы по вед.'!G642</f>
        <v>7108.8</v>
      </c>
      <c r="E33" s="558">
        <f>'2.Расходы по вед.'!H642</f>
        <v>7108.8</v>
      </c>
      <c r="F33" s="739">
        <v>6994.4049999999997</v>
      </c>
      <c r="G33" s="560">
        <f t="shared" si="2"/>
        <v>100</v>
      </c>
      <c r="H33" s="545"/>
    </row>
    <row r="34" spans="1:8" ht="33.75" customHeight="1" x14ac:dyDescent="0.25">
      <c r="A34" s="925" t="s">
        <v>979</v>
      </c>
      <c r="B34" s="926"/>
      <c r="C34" s="927"/>
      <c r="D34" s="553">
        <f>SUM(D35:D35)</f>
        <v>3714.1</v>
      </c>
      <c r="E34" s="553">
        <f>SUM(E35:E35)</f>
        <v>3714.1</v>
      </c>
      <c r="F34" s="736">
        <f>SUM(F35:F35)</f>
        <v>3707.5949999999998</v>
      </c>
      <c r="G34" s="554">
        <f t="shared" si="2"/>
        <v>100</v>
      </c>
      <c r="H34" s="565">
        <f>SUM(E34/E13*100)</f>
        <v>4.025217596154822</v>
      </c>
    </row>
    <row r="35" spans="1:8" ht="46.8" x14ac:dyDescent="0.25">
      <c r="A35" s="556" t="s">
        <v>105</v>
      </c>
      <c r="B35" s="556" t="s">
        <v>961</v>
      </c>
      <c r="C35" s="557" t="s">
        <v>962</v>
      </c>
      <c r="D35" s="559">
        <f>'2.Расходы по вед.'!G808</f>
        <v>3714.1</v>
      </c>
      <c r="E35" s="558">
        <f>'2.Расходы по вед.'!H808</f>
        <v>3714.1</v>
      </c>
      <c r="F35" s="740">
        <v>3707.5949999999998</v>
      </c>
      <c r="G35" s="560">
        <f t="shared" si="2"/>
        <v>100</v>
      </c>
      <c r="H35" s="566"/>
    </row>
  </sheetData>
  <mergeCells count="20">
    <mergeCell ref="A15:C15"/>
    <mergeCell ref="A25:C25"/>
    <mergeCell ref="A30:C30"/>
    <mergeCell ref="A32:C32"/>
    <mergeCell ref="A34:C34"/>
    <mergeCell ref="A7:H7"/>
    <mergeCell ref="A9:A10"/>
    <mergeCell ref="B9:B10"/>
    <mergeCell ref="C9:C10"/>
    <mergeCell ref="D9:D10"/>
    <mergeCell ref="E9:E10"/>
    <mergeCell ref="F9:F10"/>
    <mergeCell ref="G9:G10"/>
    <mergeCell ref="H9:H10"/>
    <mergeCell ref="A6:H6"/>
    <mergeCell ref="G1:H1"/>
    <mergeCell ref="A2:H2"/>
    <mergeCell ref="A3:H3"/>
    <mergeCell ref="G4:H4"/>
    <mergeCell ref="A5:H5"/>
  </mergeCells>
  <pageMargins left="0.82677165354330717" right="0.23622047244094491" top="0.74803149606299213" bottom="0.15748031496062992" header="0.31496062992125984" footer="0.31496062992125984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70"/>
  <sheetViews>
    <sheetView view="pageBreakPreview" zoomScaleSheetLayoutView="100" workbookViewId="0">
      <selection activeCell="E4" sqref="E4:F4"/>
    </sheetView>
  </sheetViews>
  <sheetFormatPr defaultColWidth="9.109375" defaultRowHeight="13.2" x14ac:dyDescent="0.25"/>
  <cols>
    <col min="1" max="1" width="18.33203125" style="514" customWidth="1"/>
    <col min="2" max="2" width="13.109375" style="514" customWidth="1"/>
    <col min="3" max="3" width="12.109375" style="514" customWidth="1"/>
    <col min="4" max="4" width="51.109375" style="514" customWidth="1"/>
    <col min="5" max="5" width="13.6640625" style="514" customWidth="1"/>
    <col min="6" max="6" width="16.109375" style="514" customWidth="1"/>
    <col min="7" max="16384" width="9.109375" style="514"/>
  </cols>
  <sheetData>
    <row r="1" spans="1:6" x14ac:dyDescent="0.25">
      <c r="A1" s="570"/>
      <c r="B1" s="570"/>
      <c r="C1" s="570"/>
      <c r="D1" s="570"/>
      <c r="E1" s="570"/>
      <c r="F1" s="494" t="s">
        <v>935</v>
      </c>
    </row>
    <row r="2" spans="1:6" x14ac:dyDescent="0.25">
      <c r="A2" s="934" t="s">
        <v>980</v>
      </c>
      <c r="B2" s="934"/>
      <c r="C2" s="934"/>
      <c r="D2" s="934"/>
      <c r="E2" s="934"/>
      <c r="F2" s="934"/>
    </row>
    <row r="3" spans="1:6" x14ac:dyDescent="0.25">
      <c r="A3" s="934" t="s">
        <v>1031</v>
      </c>
      <c r="B3" s="934"/>
      <c r="C3" s="934"/>
      <c r="D3" s="934"/>
      <c r="E3" s="934"/>
      <c r="F3" s="934"/>
    </row>
    <row r="4" spans="1:6" x14ac:dyDescent="0.25">
      <c r="E4" s="915" t="s">
        <v>1562</v>
      </c>
      <c r="F4" s="915"/>
    </row>
    <row r="5" spans="1:6" x14ac:dyDescent="0.25">
      <c r="E5" s="571"/>
      <c r="F5" s="571"/>
    </row>
    <row r="6" spans="1:6" ht="45" customHeight="1" x14ac:dyDescent="0.25">
      <c r="A6" s="935" t="s">
        <v>1039</v>
      </c>
      <c r="B6" s="935"/>
      <c r="C6" s="935"/>
      <c r="D6" s="935"/>
      <c r="E6" s="935"/>
      <c r="F6" s="935"/>
    </row>
    <row r="7" spans="1:6" ht="16.2" thickBot="1" x14ac:dyDescent="0.35">
      <c r="A7" s="572"/>
      <c r="B7" s="573"/>
      <c r="C7" s="573"/>
      <c r="D7" s="573"/>
      <c r="E7" s="936" t="s">
        <v>981</v>
      </c>
      <c r="F7" s="937"/>
    </row>
    <row r="8" spans="1:6" ht="45.75" customHeight="1" thickBot="1" x14ac:dyDescent="0.3">
      <c r="A8" s="928" t="s">
        <v>982</v>
      </c>
      <c r="B8" s="930" t="s">
        <v>983</v>
      </c>
      <c r="C8" s="931"/>
      <c r="D8" s="932" t="s">
        <v>984</v>
      </c>
      <c r="E8" s="932" t="s">
        <v>985</v>
      </c>
      <c r="F8" s="932" t="s">
        <v>986</v>
      </c>
    </row>
    <row r="9" spans="1:6" ht="28.2" thickBot="1" x14ac:dyDescent="0.3">
      <c r="A9" s="929"/>
      <c r="B9" s="574" t="s">
        <v>987</v>
      </c>
      <c r="C9" s="574" t="s">
        <v>988</v>
      </c>
      <c r="D9" s="933"/>
      <c r="E9" s="933"/>
      <c r="F9" s="933"/>
    </row>
    <row r="10" spans="1:6" ht="13.8" x14ac:dyDescent="0.25">
      <c r="A10" s="938" t="s">
        <v>1040</v>
      </c>
      <c r="B10" s="939"/>
      <c r="C10" s="939"/>
      <c r="D10" s="940"/>
      <c r="E10" s="941">
        <v>1008600</v>
      </c>
      <c r="F10" s="942"/>
    </row>
    <row r="11" spans="1:6" ht="48" customHeight="1" x14ac:dyDescent="0.25">
      <c r="A11" s="951" t="s">
        <v>556</v>
      </c>
      <c r="B11" s="690">
        <v>45630</v>
      </c>
      <c r="C11" s="691" t="s">
        <v>1044</v>
      </c>
      <c r="D11" s="577" t="s">
        <v>989</v>
      </c>
      <c r="E11" s="692">
        <v>9125</v>
      </c>
      <c r="F11" s="692">
        <v>9125</v>
      </c>
    </row>
    <row r="12" spans="1:6" ht="48" customHeight="1" x14ac:dyDescent="0.25">
      <c r="A12" s="951"/>
      <c r="B12" s="690">
        <v>45646</v>
      </c>
      <c r="C12" s="691" t="s">
        <v>1045</v>
      </c>
      <c r="D12" s="577" t="s">
        <v>989</v>
      </c>
      <c r="E12" s="692">
        <v>8104.2</v>
      </c>
      <c r="F12" s="693">
        <v>8104.2</v>
      </c>
    </row>
    <row r="13" spans="1:6" ht="45" customHeight="1" x14ac:dyDescent="0.25">
      <c r="A13" s="951"/>
      <c r="B13" s="575">
        <v>45664</v>
      </c>
      <c r="C13" s="576" t="s">
        <v>991</v>
      </c>
      <c r="D13" s="577" t="s">
        <v>989</v>
      </c>
      <c r="E13" s="578">
        <v>1885</v>
      </c>
      <c r="F13" s="579">
        <v>1885</v>
      </c>
    </row>
    <row r="14" spans="1:6" ht="41.4" x14ac:dyDescent="0.25">
      <c r="A14" s="951"/>
      <c r="B14" s="575">
        <v>45664</v>
      </c>
      <c r="C14" s="576" t="s">
        <v>1043</v>
      </c>
      <c r="D14" s="577" t="s">
        <v>989</v>
      </c>
      <c r="E14" s="578">
        <v>1085</v>
      </c>
      <c r="F14" s="579">
        <v>1085</v>
      </c>
    </row>
    <row r="15" spans="1:6" ht="13.8" x14ac:dyDescent="0.25">
      <c r="A15" s="951"/>
      <c r="B15" s="575">
        <v>45670</v>
      </c>
      <c r="C15" s="576" t="s">
        <v>1041</v>
      </c>
      <c r="D15" s="577" t="s">
        <v>990</v>
      </c>
      <c r="E15" s="578">
        <v>89760</v>
      </c>
      <c r="F15" s="579">
        <v>89760</v>
      </c>
    </row>
    <row r="16" spans="1:6" ht="41.4" x14ac:dyDescent="0.25">
      <c r="A16" s="951"/>
      <c r="B16" s="575">
        <v>45678</v>
      </c>
      <c r="C16" s="576" t="s">
        <v>1046</v>
      </c>
      <c r="D16" s="577" t="s">
        <v>989</v>
      </c>
      <c r="E16" s="578">
        <v>1885</v>
      </c>
      <c r="F16" s="579">
        <v>1885</v>
      </c>
    </row>
    <row r="17" spans="1:6" ht="41.4" x14ac:dyDescent="0.25">
      <c r="A17" s="951"/>
      <c r="B17" s="575">
        <v>45678</v>
      </c>
      <c r="C17" s="576" t="s">
        <v>1047</v>
      </c>
      <c r="D17" s="577" t="s">
        <v>989</v>
      </c>
      <c r="E17" s="578">
        <v>4535</v>
      </c>
      <c r="F17" s="579">
        <v>4535</v>
      </c>
    </row>
    <row r="18" spans="1:6" ht="41.4" x14ac:dyDescent="0.25">
      <c r="A18" s="951"/>
      <c r="B18" s="575">
        <v>45678</v>
      </c>
      <c r="C18" s="576" t="s">
        <v>1048</v>
      </c>
      <c r="D18" s="577" t="s">
        <v>989</v>
      </c>
      <c r="E18" s="578">
        <v>800</v>
      </c>
      <c r="F18" s="579">
        <v>800</v>
      </c>
    </row>
    <row r="19" spans="1:6" ht="41.4" x14ac:dyDescent="0.25">
      <c r="A19" s="951"/>
      <c r="B19" s="575">
        <v>45692</v>
      </c>
      <c r="C19" s="576" t="s">
        <v>992</v>
      </c>
      <c r="D19" s="577" t="s">
        <v>1042</v>
      </c>
      <c r="E19" s="578">
        <v>87800</v>
      </c>
      <c r="F19" s="579">
        <v>87800</v>
      </c>
    </row>
    <row r="20" spans="1:6" ht="41.4" x14ac:dyDescent="0.25">
      <c r="A20" s="951"/>
      <c r="B20" s="575">
        <v>45708</v>
      </c>
      <c r="C20" s="576" t="s">
        <v>1049</v>
      </c>
      <c r="D20" s="577" t="s">
        <v>989</v>
      </c>
      <c r="E20" s="578">
        <v>3389</v>
      </c>
      <c r="F20" s="579">
        <v>3389</v>
      </c>
    </row>
    <row r="21" spans="1:6" ht="41.4" x14ac:dyDescent="0.25">
      <c r="A21" s="951"/>
      <c r="B21" s="575">
        <v>45708</v>
      </c>
      <c r="C21" s="576" t="s">
        <v>1050</v>
      </c>
      <c r="D21" s="577" t="s">
        <v>989</v>
      </c>
      <c r="E21" s="578">
        <v>8673.82</v>
      </c>
      <c r="F21" s="579">
        <v>8673.82</v>
      </c>
    </row>
    <row r="22" spans="1:6" ht="41.4" x14ac:dyDescent="0.25">
      <c r="A22" s="951"/>
      <c r="B22" s="575">
        <v>45709</v>
      </c>
      <c r="C22" s="576" t="s">
        <v>1051</v>
      </c>
      <c r="D22" s="577" t="s">
        <v>989</v>
      </c>
      <c r="E22" s="578">
        <v>1885</v>
      </c>
      <c r="F22" s="579">
        <v>1885</v>
      </c>
    </row>
    <row r="23" spans="1:6" ht="41.4" x14ac:dyDescent="0.25">
      <c r="A23" s="951"/>
      <c r="B23" s="575">
        <v>45715</v>
      </c>
      <c r="C23" s="576" t="s">
        <v>1052</v>
      </c>
      <c r="D23" s="577" t="s">
        <v>989</v>
      </c>
      <c r="E23" s="578">
        <v>2477</v>
      </c>
      <c r="F23" s="579">
        <v>2477</v>
      </c>
    </row>
    <row r="24" spans="1:6" ht="41.4" x14ac:dyDescent="0.25">
      <c r="A24" s="951"/>
      <c r="B24" s="575">
        <v>45726</v>
      </c>
      <c r="C24" s="576" t="s">
        <v>1053</v>
      </c>
      <c r="D24" s="577" t="s">
        <v>989</v>
      </c>
      <c r="E24" s="578">
        <v>2477</v>
      </c>
      <c r="F24" s="579">
        <v>2477</v>
      </c>
    </row>
    <row r="25" spans="1:6" ht="41.4" x14ac:dyDescent="0.25">
      <c r="A25" s="951"/>
      <c r="B25" s="575">
        <v>45733</v>
      </c>
      <c r="C25" s="576" t="s">
        <v>1054</v>
      </c>
      <c r="D25" s="577" t="s">
        <v>989</v>
      </c>
      <c r="E25" s="578">
        <v>2189</v>
      </c>
      <c r="F25" s="579">
        <v>2189</v>
      </c>
    </row>
    <row r="26" spans="1:6" ht="41.4" x14ac:dyDescent="0.25">
      <c r="A26" s="951"/>
      <c r="B26" s="575">
        <v>45735</v>
      </c>
      <c r="C26" s="576" t="s">
        <v>1055</v>
      </c>
      <c r="D26" s="577" t="s">
        <v>989</v>
      </c>
      <c r="E26" s="578">
        <v>1949</v>
      </c>
      <c r="F26" s="579">
        <v>1949</v>
      </c>
    </row>
    <row r="27" spans="1:6" ht="41.4" x14ac:dyDescent="0.25">
      <c r="A27" s="951"/>
      <c r="B27" s="575">
        <v>45735</v>
      </c>
      <c r="C27" s="576" t="s">
        <v>1056</v>
      </c>
      <c r="D27" s="577" t="s">
        <v>989</v>
      </c>
      <c r="E27" s="578">
        <v>7808.98</v>
      </c>
      <c r="F27" s="579">
        <v>7808.98</v>
      </c>
    </row>
    <row r="28" spans="1:6" ht="41.4" x14ac:dyDescent="0.25">
      <c r="A28" s="951"/>
      <c r="B28" s="575">
        <v>45754</v>
      </c>
      <c r="C28" s="576" t="s">
        <v>1057</v>
      </c>
      <c r="D28" s="577" t="s">
        <v>989</v>
      </c>
      <c r="E28" s="578">
        <v>1719</v>
      </c>
      <c r="F28" s="579">
        <v>1719</v>
      </c>
    </row>
    <row r="29" spans="1:6" ht="41.4" x14ac:dyDescent="0.25">
      <c r="A29" s="951"/>
      <c r="B29" s="575">
        <v>45754</v>
      </c>
      <c r="C29" s="576" t="s">
        <v>993</v>
      </c>
      <c r="D29" s="577" t="s">
        <v>989</v>
      </c>
      <c r="E29" s="578">
        <v>1515</v>
      </c>
      <c r="F29" s="579">
        <v>1515</v>
      </c>
    </row>
    <row r="30" spans="1:6" ht="41.4" x14ac:dyDescent="0.25">
      <c r="A30" s="951"/>
      <c r="B30" s="575">
        <v>45755</v>
      </c>
      <c r="C30" s="576" t="s">
        <v>1058</v>
      </c>
      <c r="D30" s="577" t="s">
        <v>989</v>
      </c>
      <c r="E30" s="578">
        <v>1515</v>
      </c>
      <c r="F30" s="579">
        <v>1515</v>
      </c>
    </row>
    <row r="31" spans="1:6" ht="41.4" x14ac:dyDescent="0.25">
      <c r="A31" s="951"/>
      <c r="B31" s="575">
        <v>45763</v>
      </c>
      <c r="C31" s="576" t="s">
        <v>1059</v>
      </c>
      <c r="D31" s="577" t="s">
        <v>989</v>
      </c>
      <c r="E31" s="578">
        <v>1395</v>
      </c>
      <c r="F31" s="579">
        <v>1395</v>
      </c>
    </row>
    <row r="32" spans="1:6" ht="41.4" x14ac:dyDescent="0.25">
      <c r="A32" s="951"/>
      <c r="B32" s="575">
        <v>45763</v>
      </c>
      <c r="C32" s="576" t="s">
        <v>1060</v>
      </c>
      <c r="D32" s="577" t="s">
        <v>989</v>
      </c>
      <c r="E32" s="578">
        <v>7344.94</v>
      </c>
      <c r="F32" s="579">
        <v>7344.94</v>
      </c>
    </row>
    <row r="33" spans="1:6" ht="41.4" x14ac:dyDescent="0.25">
      <c r="A33" s="951"/>
      <c r="B33" s="575">
        <v>45772</v>
      </c>
      <c r="C33" s="576" t="s">
        <v>1061</v>
      </c>
      <c r="D33" s="577" t="s">
        <v>989</v>
      </c>
      <c r="E33" s="578">
        <v>1625</v>
      </c>
      <c r="F33" s="579">
        <v>1625</v>
      </c>
    </row>
    <row r="34" spans="1:6" ht="41.4" x14ac:dyDescent="0.25">
      <c r="A34" s="951"/>
      <c r="B34" s="575">
        <v>45782</v>
      </c>
      <c r="C34" s="576" t="s">
        <v>1062</v>
      </c>
      <c r="D34" s="577" t="s">
        <v>989</v>
      </c>
      <c r="E34" s="578">
        <v>1625</v>
      </c>
      <c r="F34" s="579">
        <v>1625</v>
      </c>
    </row>
    <row r="35" spans="1:6" ht="13.8" x14ac:dyDescent="0.25">
      <c r="A35" s="951"/>
      <c r="B35" s="575">
        <v>45806</v>
      </c>
      <c r="C35" s="576" t="s">
        <v>1063</v>
      </c>
      <c r="D35" s="577" t="s">
        <v>990</v>
      </c>
      <c r="E35" s="578">
        <v>134640</v>
      </c>
      <c r="F35" s="579">
        <v>134640</v>
      </c>
    </row>
    <row r="36" spans="1:6" ht="41.4" x14ac:dyDescent="0.25">
      <c r="A36" s="951"/>
      <c r="B36" s="575">
        <v>45817</v>
      </c>
      <c r="C36" s="576" t="s">
        <v>1064</v>
      </c>
      <c r="D36" s="577" t="s">
        <v>989</v>
      </c>
      <c r="E36" s="578">
        <v>1610</v>
      </c>
      <c r="F36" s="579">
        <v>1610</v>
      </c>
    </row>
    <row r="37" spans="1:6" ht="41.4" x14ac:dyDescent="0.25">
      <c r="A37" s="951"/>
      <c r="B37" s="575">
        <v>45817</v>
      </c>
      <c r="C37" s="576" t="s">
        <v>1065</v>
      </c>
      <c r="D37" s="577" t="s">
        <v>989</v>
      </c>
      <c r="E37" s="578">
        <v>1610</v>
      </c>
      <c r="F37" s="579">
        <v>1610</v>
      </c>
    </row>
    <row r="38" spans="1:6" ht="41.4" x14ac:dyDescent="0.25">
      <c r="A38" s="951"/>
      <c r="B38" s="575">
        <v>45824</v>
      </c>
      <c r="C38" s="576" t="s">
        <v>1066</v>
      </c>
      <c r="D38" s="577" t="s">
        <v>989</v>
      </c>
      <c r="E38" s="578">
        <v>1925</v>
      </c>
      <c r="F38" s="579">
        <v>1925</v>
      </c>
    </row>
    <row r="39" spans="1:6" ht="41.4" x14ac:dyDescent="0.25">
      <c r="A39" s="951"/>
      <c r="B39" s="575">
        <v>45832</v>
      </c>
      <c r="C39" s="576" t="s">
        <v>1069</v>
      </c>
      <c r="D39" s="577" t="s">
        <v>989</v>
      </c>
      <c r="E39" s="578">
        <v>1925</v>
      </c>
      <c r="F39" s="579">
        <v>1925</v>
      </c>
    </row>
    <row r="40" spans="1:6" ht="41.4" x14ac:dyDescent="0.25">
      <c r="A40" s="951"/>
      <c r="B40" s="575">
        <v>45833</v>
      </c>
      <c r="C40" s="576" t="s">
        <v>1068</v>
      </c>
      <c r="D40" s="577" t="s">
        <v>989</v>
      </c>
      <c r="E40" s="578">
        <v>9740.6299999999992</v>
      </c>
      <c r="F40" s="579">
        <v>9740.6299999999992</v>
      </c>
    </row>
    <row r="41" spans="1:6" ht="13.8" x14ac:dyDescent="0.25">
      <c r="A41" s="951"/>
      <c r="B41" s="575">
        <v>45834</v>
      </c>
      <c r="C41" s="576" t="s">
        <v>1067</v>
      </c>
      <c r="D41" s="577" t="s">
        <v>990</v>
      </c>
      <c r="E41" s="578">
        <v>179520</v>
      </c>
      <c r="F41" s="579">
        <v>179520</v>
      </c>
    </row>
    <row r="42" spans="1:6" ht="41.4" x14ac:dyDescent="0.25">
      <c r="A42" s="951"/>
      <c r="B42" s="575">
        <v>45839</v>
      </c>
      <c r="C42" s="576" t="s">
        <v>1070</v>
      </c>
      <c r="D42" s="577" t="s">
        <v>989</v>
      </c>
      <c r="E42" s="578">
        <v>1940</v>
      </c>
      <c r="F42" s="579">
        <v>1940</v>
      </c>
    </row>
    <row r="43" spans="1:6" ht="41.4" x14ac:dyDescent="0.25">
      <c r="A43" s="951"/>
      <c r="B43" s="575">
        <v>45847</v>
      </c>
      <c r="C43" s="576" t="s">
        <v>1071</v>
      </c>
      <c r="D43" s="577" t="s">
        <v>989</v>
      </c>
      <c r="E43" s="578">
        <v>2640</v>
      </c>
      <c r="F43" s="579">
        <v>2640</v>
      </c>
    </row>
    <row r="44" spans="1:6" ht="41.4" x14ac:dyDescent="0.25">
      <c r="A44" s="951"/>
      <c r="B44" s="575">
        <v>45863</v>
      </c>
      <c r="C44" s="576" t="s">
        <v>1072</v>
      </c>
      <c r="D44" s="577" t="s">
        <v>989</v>
      </c>
      <c r="E44" s="578">
        <v>1685</v>
      </c>
      <c r="F44" s="579">
        <v>1685</v>
      </c>
    </row>
    <row r="45" spans="1:6" ht="41.4" x14ac:dyDescent="0.25">
      <c r="A45" s="951"/>
      <c r="B45" s="575">
        <v>45866</v>
      </c>
      <c r="C45" s="576" t="s">
        <v>1073</v>
      </c>
      <c r="D45" s="577" t="s">
        <v>989</v>
      </c>
      <c r="E45" s="578">
        <v>1685</v>
      </c>
      <c r="F45" s="579">
        <v>1685</v>
      </c>
    </row>
    <row r="46" spans="1:6" ht="41.4" x14ac:dyDescent="0.25">
      <c r="A46" s="951"/>
      <c r="B46" s="575">
        <v>45882</v>
      </c>
      <c r="C46" s="576" t="s">
        <v>1074</v>
      </c>
      <c r="D46" s="577" t="s">
        <v>989</v>
      </c>
      <c r="E46" s="578">
        <v>1685</v>
      </c>
      <c r="F46" s="579">
        <v>1685</v>
      </c>
    </row>
    <row r="47" spans="1:6" ht="41.4" x14ac:dyDescent="0.25">
      <c r="A47" s="951"/>
      <c r="B47" s="575">
        <v>45888</v>
      </c>
      <c r="C47" s="576" t="s">
        <v>1075</v>
      </c>
      <c r="D47" s="577" t="s">
        <v>989</v>
      </c>
      <c r="E47" s="578">
        <v>1877</v>
      </c>
      <c r="F47" s="579">
        <v>1877</v>
      </c>
    </row>
    <row r="48" spans="1:6" ht="41.4" x14ac:dyDescent="0.25">
      <c r="A48" s="951"/>
      <c r="B48" s="575">
        <v>45889</v>
      </c>
      <c r="C48" s="576" t="s">
        <v>1078</v>
      </c>
      <c r="D48" s="577" t="s">
        <v>989</v>
      </c>
      <c r="E48" s="578">
        <v>7754.81</v>
      </c>
      <c r="F48" s="579">
        <v>7754.81</v>
      </c>
    </row>
    <row r="49" spans="1:6" ht="41.4" x14ac:dyDescent="0.25">
      <c r="A49" s="951"/>
      <c r="B49" s="575">
        <v>45896</v>
      </c>
      <c r="C49" s="576" t="s">
        <v>1076</v>
      </c>
      <c r="D49" s="577" t="s">
        <v>989</v>
      </c>
      <c r="E49" s="578">
        <v>1449</v>
      </c>
      <c r="F49" s="579">
        <v>1449</v>
      </c>
    </row>
    <row r="50" spans="1:6" ht="41.4" x14ac:dyDescent="0.25">
      <c r="A50" s="951"/>
      <c r="B50" s="575">
        <v>45897</v>
      </c>
      <c r="C50" s="576" t="s">
        <v>1077</v>
      </c>
      <c r="D50" s="577" t="s">
        <v>989</v>
      </c>
      <c r="E50" s="578">
        <v>1455</v>
      </c>
      <c r="F50" s="579">
        <v>1455</v>
      </c>
    </row>
    <row r="51" spans="1:6" ht="41.4" x14ac:dyDescent="0.25">
      <c r="A51" s="951"/>
      <c r="B51" s="575">
        <v>45901</v>
      </c>
      <c r="C51" s="576" t="s">
        <v>1079</v>
      </c>
      <c r="D51" s="577" t="s">
        <v>989</v>
      </c>
      <c r="E51" s="578">
        <v>8381.61</v>
      </c>
      <c r="F51" s="579">
        <v>8381.61</v>
      </c>
    </row>
    <row r="52" spans="1:6" ht="41.4" x14ac:dyDescent="0.25">
      <c r="A52" s="951"/>
      <c r="B52" s="575">
        <v>45911</v>
      </c>
      <c r="C52" s="576" t="s">
        <v>1083</v>
      </c>
      <c r="D52" s="577" t="s">
        <v>989</v>
      </c>
      <c r="E52" s="578">
        <v>1625</v>
      </c>
      <c r="F52" s="579">
        <v>1625</v>
      </c>
    </row>
    <row r="53" spans="1:6" ht="41.4" x14ac:dyDescent="0.25">
      <c r="A53" s="951"/>
      <c r="B53" s="575">
        <v>45915</v>
      </c>
      <c r="C53" s="576" t="s">
        <v>1080</v>
      </c>
      <c r="D53" s="577" t="s">
        <v>989</v>
      </c>
      <c r="E53" s="578">
        <v>6910.5</v>
      </c>
      <c r="F53" s="579">
        <v>6910.5</v>
      </c>
    </row>
    <row r="54" spans="1:6" ht="41.4" x14ac:dyDescent="0.25">
      <c r="A54" s="951"/>
      <c r="B54" s="575">
        <v>45918</v>
      </c>
      <c r="C54" s="576" t="s">
        <v>1081</v>
      </c>
      <c r="D54" s="577" t="s">
        <v>989</v>
      </c>
      <c r="E54" s="578">
        <v>1625</v>
      </c>
      <c r="F54" s="579">
        <v>1625</v>
      </c>
    </row>
    <row r="55" spans="1:6" ht="41.4" x14ac:dyDescent="0.25">
      <c r="A55" s="951"/>
      <c r="B55" s="575">
        <v>45918</v>
      </c>
      <c r="C55" s="576" t="s">
        <v>1082</v>
      </c>
      <c r="D55" s="577" t="s">
        <v>989</v>
      </c>
      <c r="E55" s="578">
        <v>7394.53</v>
      </c>
      <c r="F55" s="578">
        <v>7394.53</v>
      </c>
    </row>
    <row r="56" spans="1:6" ht="41.4" x14ac:dyDescent="0.25">
      <c r="A56" s="951"/>
      <c r="B56" s="575">
        <v>45929</v>
      </c>
      <c r="C56" s="576" t="s">
        <v>1084</v>
      </c>
      <c r="D56" s="577" t="s">
        <v>989</v>
      </c>
      <c r="E56" s="578">
        <v>9555.2999999999993</v>
      </c>
      <c r="F56" s="579">
        <v>9555.2999999999993</v>
      </c>
    </row>
    <row r="57" spans="1:6" ht="41.4" x14ac:dyDescent="0.25">
      <c r="A57" s="951"/>
      <c r="B57" s="575">
        <v>45936</v>
      </c>
      <c r="C57" s="576" t="s">
        <v>1085</v>
      </c>
      <c r="D57" s="577" t="s">
        <v>989</v>
      </c>
      <c r="E57" s="578">
        <v>1685</v>
      </c>
      <c r="F57" s="579">
        <v>1685</v>
      </c>
    </row>
    <row r="58" spans="1:6" ht="41.4" x14ac:dyDescent="0.25">
      <c r="A58" s="951"/>
      <c r="B58" s="575">
        <v>45940</v>
      </c>
      <c r="C58" s="576" t="s">
        <v>1086</v>
      </c>
      <c r="D58" s="577" t="s">
        <v>989</v>
      </c>
      <c r="E58" s="578">
        <v>7380.01</v>
      </c>
      <c r="F58" s="578">
        <v>7380.01</v>
      </c>
    </row>
    <row r="59" spans="1:6" ht="41.4" x14ac:dyDescent="0.25">
      <c r="A59" s="951"/>
      <c r="B59" s="575">
        <v>45940</v>
      </c>
      <c r="C59" s="576" t="s">
        <v>1087</v>
      </c>
      <c r="D59" s="577" t="s">
        <v>989</v>
      </c>
      <c r="E59" s="578">
        <v>1685</v>
      </c>
      <c r="F59" s="578">
        <v>1685</v>
      </c>
    </row>
    <row r="60" spans="1:6" ht="41.4" x14ac:dyDescent="0.25">
      <c r="A60" s="951"/>
      <c r="B60" s="575">
        <v>45951</v>
      </c>
      <c r="C60" s="576" t="s">
        <v>1088</v>
      </c>
      <c r="D60" s="577" t="s">
        <v>989</v>
      </c>
      <c r="E60" s="578">
        <v>7252.21</v>
      </c>
      <c r="F60" s="579">
        <v>7252.21</v>
      </c>
    </row>
    <row r="61" spans="1:6" ht="41.4" x14ac:dyDescent="0.25">
      <c r="A61" s="951"/>
      <c r="B61" s="575">
        <v>45966</v>
      </c>
      <c r="C61" s="576" t="s">
        <v>1089</v>
      </c>
      <c r="D61" s="577" t="s">
        <v>989</v>
      </c>
      <c r="E61" s="578">
        <v>855</v>
      </c>
      <c r="F61" s="579">
        <v>855</v>
      </c>
    </row>
    <row r="62" spans="1:6" ht="13.8" x14ac:dyDescent="0.25">
      <c r="A62" s="951"/>
      <c r="B62" s="575">
        <v>45981</v>
      </c>
      <c r="C62" s="576" t="s">
        <v>1090</v>
      </c>
      <c r="D62" s="577" t="s">
        <v>990</v>
      </c>
      <c r="E62" s="578">
        <v>44880</v>
      </c>
      <c r="F62" s="579">
        <v>44880</v>
      </c>
    </row>
    <row r="63" spans="1:6" ht="41.4" x14ac:dyDescent="0.25">
      <c r="A63" s="951"/>
      <c r="B63" s="575">
        <v>45981</v>
      </c>
      <c r="C63" s="576" t="s">
        <v>1091</v>
      </c>
      <c r="D63" s="577" t="s">
        <v>989</v>
      </c>
      <c r="E63" s="579">
        <v>8372.94</v>
      </c>
      <c r="F63" s="579">
        <v>8372.94</v>
      </c>
    </row>
    <row r="64" spans="1:6" ht="41.4" x14ac:dyDescent="0.25">
      <c r="A64" s="951"/>
      <c r="B64" s="575">
        <v>45987</v>
      </c>
      <c r="C64" s="576" t="s">
        <v>1092</v>
      </c>
      <c r="D64" s="577" t="s">
        <v>989</v>
      </c>
      <c r="E64" s="579">
        <v>1405</v>
      </c>
      <c r="F64" s="579">
        <v>1405</v>
      </c>
    </row>
    <row r="65" spans="1:6" ht="41.4" x14ac:dyDescent="0.25">
      <c r="A65" s="951"/>
      <c r="B65" s="575">
        <v>45987</v>
      </c>
      <c r="C65" s="576" t="s">
        <v>1093</v>
      </c>
      <c r="D65" s="577" t="s">
        <v>989</v>
      </c>
      <c r="E65" s="579">
        <v>1405</v>
      </c>
      <c r="F65" s="579">
        <v>1405</v>
      </c>
    </row>
    <row r="66" spans="1:6" ht="13.8" x14ac:dyDescent="0.25">
      <c r="A66" s="951"/>
      <c r="B66" s="575">
        <v>46002</v>
      </c>
      <c r="C66" s="576" t="s">
        <v>1096</v>
      </c>
      <c r="D66" s="577" t="s">
        <v>1097</v>
      </c>
      <c r="E66" s="578">
        <v>128600</v>
      </c>
      <c r="F66" s="579">
        <v>128600</v>
      </c>
    </row>
    <row r="67" spans="1:6" ht="41.4" x14ac:dyDescent="0.25">
      <c r="A67" s="951"/>
      <c r="B67" s="575">
        <v>46000</v>
      </c>
      <c r="C67" s="576" t="s">
        <v>1094</v>
      </c>
      <c r="D67" s="577" t="s">
        <v>989</v>
      </c>
      <c r="E67" s="578">
        <v>1465</v>
      </c>
      <c r="F67" s="579">
        <v>1465</v>
      </c>
    </row>
    <row r="68" spans="1:6" ht="41.4" x14ac:dyDescent="0.25">
      <c r="A68" s="952"/>
      <c r="B68" s="696">
        <v>46007</v>
      </c>
      <c r="C68" s="697" t="s">
        <v>1095</v>
      </c>
      <c r="D68" s="577" t="s">
        <v>989</v>
      </c>
      <c r="E68" s="698">
        <v>1635</v>
      </c>
      <c r="F68" s="579">
        <v>1635</v>
      </c>
    </row>
    <row r="69" spans="1:6" ht="14.4" thickBot="1" x14ac:dyDescent="0.3">
      <c r="A69" s="943" t="s">
        <v>994</v>
      </c>
      <c r="B69" s="944"/>
      <c r="C69" s="944"/>
      <c r="D69" s="945"/>
      <c r="E69" s="580">
        <f>SUM(E11:E68)</f>
        <v>847820.4800000001</v>
      </c>
      <c r="F69" s="580">
        <v>847820.48</v>
      </c>
    </row>
    <row r="70" spans="1:6" ht="14.4" thickBot="1" x14ac:dyDescent="0.3">
      <c r="A70" s="946" t="s">
        <v>995</v>
      </c>
      <c r="B70" s="947"/>
      <c r="C70" s="947"/>
      <c r="D70" s="948"/>
      <c r="E70" s="949">
        <f>E10-F69</f>
        <v>160779.52000000002</v>
      </c>
      <c r="F70" s="950"/>
    </row>
  </sheetData>
  <autoFilter ref="A9:F70"/>
  <mergeCells count="16">
    <mergeCell ref="A10:D10"/>
    <mergeCell ref="E10:F10"/>
    <mergeCell ref="A69:D69"/>
    <mergeCell ref="A70:D70"/>
    <mergeCell ref="E70:F70"/>
    <mergeCell ref="A11:A68"/>
    <mergeCell ref="A2:F2"/>
    <mergeCell ref="A3:F3"/>
    <mergeCell ref="E4:F4"/>
    <mergeCell ref="A6:F6"/>
    <mergeCell ref="E7:F7"/>
    <mergeCell ref="A8:A9"/>
    <mergeCell ref="B8:C8"/>
    <mergeCell ref="D8:D9"/>
    <mergeCell ref="E8:E9"/>
    <mergeCell ref="F8:F9"/>
  </mergeCells>
  <pageMargins left="1.1023622047244095" right="0.31496062992125984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98"/>
  <sheetViews>
    <sheetView view="pageBreakPreview" zoomScale="75" zoomScaleSheetLayoutView="75" workbookViewId="0">
      <selection activeCell="M8" sqref="M8"/>
    </sheetView>
  </sheetViews>
  <sheetFormatPr defaultRowHeight="14.4" x14ac:dyDescent="0.3"/>
  <cols>
    <col min="1" max="1" width="8.6640625" customWidth="1"/>
    <col min="2" max="2" width="68.88671875" customWidth="1"/>
    <col min="3" max="4" width="15.6640625" customWidth="1"/>
    <col min="5" max="5" width="15.88671875" customWidth="1"/>
    <col min="6" max="6" width="16.6640625" customWidth="1"/>
    <col min="7" max="8" width="17" customWidth="1"/>
    <col min="9" max="9" width="17.88671875" customWidth="1"/>
    <col min="10" max="10" width="14.5546875" customWidth="1"/>
    <col min="11" max="12" width="17.5546875" customWidth="1"/>
    <col min="13" max="13" width="17.109375" customWidth="1"/>
    <col min="14" max="14" width="15.6640625" customWidth="1"/>
    <col min="15" max="16" width="14" bestFit="1" customWidth="1"/>
    <col min="259" max="259" width="8.6640625" customWidth="1"/>
    <col min="260" max="260" width="53.44140625" customWidth="1"/>
    <col min="261" max="261" width="15.6640625" customWidth="1"/>
    <col min="262" max="262" width="15.88671875" customWidth="1"/>
    <col min="263" max="263" width="15.5546875" customWidth="1"/>
    <col min="264" max="264" width="17" customWidth="1"/>
    <col min="265" max="265" width="17.88671875" customWidth="1"/>
    <col min="266" max="266" width="14.5546875" customWidth="1"/>
    <col min="267" max="267" width="15.109375" customWidth="1"/>
    <col min="268" max="268" width="17.109375" customWidth="1"/>
    <col min="269" max="269" width="15.6640625" customWidth="1"/>
    <col min="270" max="270" width="13.5546875" bestFit="1" customWidth="1"/>
    <col min="515" max="515" width="8.6640625" customWidth="1"/>
    <col min="516" max="516" width="53.44140625" customWidth="1"/>
    <col min="517" max="517" width="15.6640625" customWidth="1"/>
    <col min="518" max="518" width="15.88671875" customWidth="1"/>
    <col min="519" max="519" width="15.5546875" customWidth="1"/>
    <col min="520" max="520" width="17" customWidth="1"/>
    <col min="521" max="521" width="17.88671875" customWidth="1"/>
    <col min="522" max="522" width="14.5546875" customWidth="1"/>
    <col min="523" max="523" width="15.109375" customWidth="1"/>
    <col min="524" max="524" width="17.109375" customWidth="1"/>
    <col min="525" max="525" width="15.6640625" customWidth="1"/>
    <col min="526" max="526" width="13.5546875" bestFit="1" customWidth="1"/>
    <col min="771" max="771" width="8.6640625" customWidth="1"/>
    <col min="772" max="772" width="53.44140625" customWidth="1"/>
    <col min="773" max="773" width="15.6640625" customWidth="1"/>
    <col min="774" max="774" width="15.88671875" customWidth="1"/>
    <col min="775" max="775" width="15.5546875" customWidth="1"/>
    <col min="776" max="776" width="17" customWidth="1"/>
    <col min="777" max="777" width="17.88671875" customWidth="1"/>
    <col min="778" max="778" width="14.5546875" customWidth="1"/>
    <col min="779" max="779" width="15.109375" customWidth="1"/>
    <col min="780" max="780" width="17.109375" customWidth="1"/>
    <col min="781" max="781" width="15.6640625" customWidth="1"/>
    <col min="782" max="782" width="13.5546875" bestFit="1" customWidth="1"/>
    <col min="1027" max="1027" width="8.6640625" customWidth="1"/>
    <col min="1028" max="1028" width="53.44140625" customWidth="1"/>
    <col min="1029" max="1029" width="15.6640625" customWidth="1"/>
    <col min="1030" max="1030" width="15.88671875" customWidth="1"/>
    <col min="1031" max="1031" width="15.5546875" customWidth="1"/>
    <col min="1032" max="1032" width="17" customWidth="1"/>
    <col min="1033" max="1033" width="17.88671875" customWidth="1"/>
    <col min="1034" max="1034" width="14.5546875" customWidth="1"/>
    <col min="1035" max="1035" width="15.109375" customWidth="1"/>
    <col min="1036" max="1036" width="17.109375" customWidth="1"/>
    <col min="1037" max="1037" width="15.6640625" customWidth="1"/>
    <col min="1038" max="1038" width="13.5546875" bestFit="1" customWidth="1"/>
    <col min="1283" max="1283" width="8.6640625" customWidth="1"/>
    <col min="1284" max="1284" width="53.44140625" customWidth="1"/>
    <col min="1285" max="1285" width="15.6640625" customWidth="1"/>
    <col min="1286" max="1286" width="15.88671875" customWidth="1"/>
    <col min="1287" max="1287" width="15.5546875" customWidth="1"/>
    <col min="1288" max="1288" width="17" customWidth="1"/>
    <col min="1289" max="1289" width="17.88671875" customWidth="1"/>
    <col min="1290" max="1290" width="14.5546875" customWidth="1"/>
    <col min="1291" max="1291" width="15.109375" customWidth="1"/>
    <col min="1292" max="1292" width="17.109375" customWidth="1"/>
    <col min="1293" max="1293" width="15.6640625" customWidth="1"/>
    <col min="1294" max="1294" width="13.5546875" bestFit="1" customWidth="1"/>
    <col min="1539" max="1539" width="8.6640625" customWidth="1"/>
    <col min="1540" max="1540" width="53.44140625" customWidth="1"/>
    <col min="1541" max="1541" width="15.6640625" customWidth="1"/>
    <col min="1542" max="1542" width="15.88671875" customWidth="1"/>
    <col min="1543" max="1543" width="15.5546875" customWidth="1"/>
    <col min="1544" max="1544" width="17" customWidth="1"/>
    <col min="1545" max="1545" width="17.88671875" customWidth="1"/>
    <col min="1546" max="1546" width="14.5546875" customWidth="1"/>
    <col min="1547" max="1547" width="15.109375" customWidth="1"/>
    <col min="1548" max="1548" width="17.109375" customWidth="1"/>
    <col min="1549" max="1549" width="15.6640625" customWidth="1"/>
    <col min="1550" max="1550" width="13.5546875" bestFit="1" customWidth="1"/>
    <col min="1795" max="1795" width="8.6640625" customWidth="1"/>
    <col min="1796" max="1796" width="53.44140625" customWidth="1"/>
    <col min="1797" max="1797" width="15.6640625" customWidth="1"/>
    <col min="1798" max="1798" width="15.88671875" customWidth="1"/>
    <col min="1799" max="1799" width="15.5546875" customWidth="1"/>
    <col min="1800" max="1800" width="17" customWidth="1"/>
    <col min="1801" max="1801" width="17.88671875" customWidth="1"/>
    <col min="1802" max="1802" width="14.5546875" customWidth="1"/>
    <col min="1803" max="1803" width="15.109375" customWidth="1"/>
    <col min="1804" max="1804" width="17.109375" customWidth="1"/>
    <col min="1805" max="1805" width="15.6640625" customWidth="1"/>
    <col min="1806" max="1806" width="13.5546875" bestFit="1" customWidth="1"/>
    <col min="2051" max="2051" width="8.6640625" customWidth="1"/>
    <col min="2052" max="2052" width="53.44140625" customWidth="1"/>
    <col min="2053" max="2053" width="15.6640625" customWidth="1"/>
    <col min="2054" max="2054" width="15.88671875" customWidth="1"/>
    <col min="2055" max="2055" width="15.5546875" customWidth="1"/>
    <col min="2056" max="2056" width="17" customWidth="1"/>
    <col min="2057" max="2057" width="17.88671875" customWidth="1"/>
    <col min="2058" max="2058" width="14.5546875" customWidth="1"/>
    <col min="2059" max="2059" width="15.109375" customWidth="1"/>
    <col min="2060" max="2060" width="17.109375" customWidth="1"/>
    <col min="2061" max="2061" width="15.6640625" customWidth="1"/>
    <col min="2062" max="2062" width="13.5546875" bestFit="1" customWidth="1"/>
    <col min="2307" max="2307" width="8.6640625" customWidth="1"/>
    <col min="2308" max="2308" width="53.44140625" customWidth="1"/>
    <col min="2309" max="2309" width="15.6640625" customWidth="1"/>
    <col min="2310" max="2310" width="15.88671875" customWidth="1"/>
    <col min="2311" max="2311" width="15.5546875" customWidth="1"/>
    <col min="2312" max="2312" width="17" customWidth="1"/>
    <col min="2313" max="2313" width="17.88671875" customWidth="1"/>
    <col min="2314" max="2314" width="14.5546875" customWidth="1"/>
    <col min="2315" max="2315" width="15.109375" customWidth="1"/>
    <col min="2316" max="2316" width="17.109375" customWidth="1"/>
    <col min="2317" max="2317" width="15.6640625" customWidth="1"/>
    <col min="2318" max="2318" width="13.5546875" bestFit="1" customWidth="1"/>
    <col min="2563" max="2563" width="8.6640625" customWidth="1"/>
    <col min="2564" max="2564" width="53.44140625" customWidth="1"/>
    <col min="2565" max="2565" width="15.6640625" customWidth="1"/>
    <col min="2566" max="2566" width="15.88671875" customWidth="1"/>
    <col min="2567" max="2567" width="15.5546875" customWidth="1"/>
    <col min="2568" max="2568" width="17" customWidth="1"/>
    <col min="2569" max="2569" width="17.88671875" customWidth="1"/>
    <col min="2570" max="2570" width="14.5546875" customWidth="1"/>
    <col min="2571" max="2571" width="15.109375" customWidth="1"/>
    <col min="2572" max="2572" width="17.109375" customWidth="1"/>
    <col min="2573" max="2573" width="15.6640625" customWidth="1"/>
    <col min="2574" max="2574" width="13.5546875" bestFit="1" customWidth="1"/>
    <col min="2819" max="2819" width="8.6640625" customWidth="1"/>
    <col min="2820" max="2820" width="53.44140625" customWidth="1"/>
    <col min="2821" max="2821" width="15.6640625" customWidth="1"/>
    <col min="2822" max="2822" width="15.88671875" customWidth="1"/>
    <col min="2823" max="2823" width="15.5546875" customWidth="1"/>
    <col min="2824" max="2824" width="17" customWidth="1"/>
    <col min="2825" max="2825" width="17.88671875" customWidth="1"/>
    <col min="2826" max="2826" width="14.5546875" customWidth="1"/>
    <col min="2827" max="2827" width="15.109375" customWidth="1"/>
    <col min="2828" max="2828" width="17.109375" customWidth="1"/>
    <col min="2829" max="2829" width="15.6640625" customWidth="1"/>
    <col min="2830" max="2830" width="13.5546875" bestFit="1" customWidth="1"/>
    <col min="3075" max="3075" width="8.6640625" customWidth="1"/>
    <col min="3076" max="3076" width="53.44140625" customWidth="1"/>
    <col min="3077" max="3077" width="15.6640625" customWidth="1"/>
    <col min="3078" max="3078" width="15.88671875" customWidth="1"/>
    <col min="3079" max="3079" width="15.5546875" customWidth="1"/>
    <col min="3080" max="3080" width="17" customWidth="1"/>
    <col min="3081" max="3081" width="17.88671875" customWidth="1"/>
    <col min="3082" max="3082" width="14.5546875" customWidth="1"/>
    <col min="3083" max="3083" width="15.109375" customWidth="1"/>
    <col min="3084" max="3084" width="17.109375" customWidth="1"/>
    <col min="3085" max="3085" width="15.6640625" customWidth="1"/>
    <col min="3086" max="3086" width="13.5546875" bestFit="1" customWidth="1"/>
    <col min="3331" max="3331" width="8.6640625" customWidth="1"/>
    <col min="3332" max="3332" width="53.44140625" customWidth="1"/>
    <col min="3333" max="3333" width="15.6640625" customWidth="1"/>
    <col min="3334" max="3334" width="15.88671875" customWidth="1"/>
    <col min="3335" max="3335" width="15.5546875" customWidth="1"/>
    <col min="3336" max="3336" width="17" customWidth="1"/>
    <col min="3337" max="3337" width="17.88671875" customWidth="1"/>
    <col min="3338" max="3338" width="14.5546875" customWidth="1"/>
    <col min="3339" max="3339" width="15.109375" customWidth="1"/>
    <col min="3340" max="3340" width="17.109375" customWidth="1"/>
    <col min="3341" max="3341" width="15.6640625" customWidth="1"/>
    <col min="3342" max="3342" width="13.5546875" bestFit="1" customWidth="1"/>
    <col min="3587" max="3587" width="8.6640625" customWidth="1"/>
    <col min="3588" max="3588" width="53.44140625" customWidth="1"/>
    <col min="3589" max="3589" width="15.6640625" customWidth="1"/>
    <col min="3590" max="3590" width="15.88671875" customWidth="1"/>
    <col min="3591" max="3591" width="15.5546875" customWidth="1"/>
    <col min="3592" max="3592" width="17" customWidth="1"/>
    <col min="3593" max="3593" width="17.88671875" customWidth="1"/>
    <col min="3594" max="3594" width="14.5546875" customWidth="1"/>
    <col min="3595" max="3595" width="15.109375" customWidth="1"/>
    <col min="3596" max="3596" width="17.109375" customWidth="1"/>
    <col min="3597" max="3597" width="15.6640625" customWidth="1"/>
    <col min="3598" max="3598" width="13.5546875" bestFit="1" customWidth="1"/>
    <col min="3843" max="3843" width="8.6640625" customWidth="1"/>
    <col min="3844" max="3844" width="53.44140625" customWidth="1"/>
    <col min="3845" max="3845" width="15.6640625" customWidth="1"/>
    <col min="3846" max="3846" width="15.88671875" customWidth="1"/>
    <col min="3847" max="3847" width="15.5546875" customWidth="1"/>
    <col min="3848" max="3848" width="17" customWidth="1"/>
    <col min="3849" max="3849" width="17.88671875" customWidth="1"/>
    <col min="3850" max="3850" width="14.5546875" customWidth="1"/>
    <col min="3851" max="3851" width="15.109375" customWidth="1"/>
    <col min="3852" max="3852" width="17.109375" customWidth="1"/>
    <col min="3853" max="3853" width="15.6640625" customWidth="1"/>
    <col min="3854" max="3854" width="13.5546875" bestFit="1" customWidth="1"/>
    <col min="4099" max="4099" width="8.6640625" customWidth="1"/>
    <col min="4100" max="4100" width="53.44140625" customWidth="1"/>
    <col min="4101" max="4101" width="15.6640625" customWidth="1"/>
    <col min="4102" max="4102" width="15.88671875" customWidth="1"/>
    <col min="4103" max="4103" width="15.5546875" customWidth="1"/>
    <col min="4104" max="4104" width="17" customWidth="1"/>
    <col min="4105" max="4105" width="17.88671875" customWidth="1"/>
    <col min="4106" max="4106" width="14.5546875" customWidth="1"/>
    <col min="4107" max="4107" width="15.109375" customWidth="1"/>
    <col min="4108" max="4108" width="17.109375" customWidth="1"/>
    <col min="4109" max="4109" width="15.6640625" customWidth="1"/>
    <col min="4110" max="4110" width="13.5546875" bestFit="1" customWidth="1"/>
    <col min="4355" max="4355" width="8.6640625" customWidth="1"/>
    <col min="4356" max="4356" width="53.44140625" customWidth="1"/>
    <col min="4357" max="4357" width="15.6640625" customWidth="1"/>
    <col min="4358" max="4358" width="15.88671875" customWidth="1"/>
    <col min="4359" max="4359" width="15.5546875" customWidth="1"/>
    <col min="4360" max="4360" width="17" customWidth="1"/>
    <col min="4361" max="4361" width="17.88671875" customWidth="1"/>
    <col min="4362" max="4362" width="14.5546875" customWidth="1"/>
    <col min="4363" max="4363" width="15.109375" customWidth="1"/>
    <col min="4364" max="4364" width="17.109375" customWidth="1"/>
    <col min="4365" max="4365" width="15.6640625" customWidth="1"/>
    <col min="4366" max="4366" width="13.5546875" bestFit="1" customWidth="1"/>
    <col min="4611" max="4611" width="8.6640625" customWidth="1"/>
    <col min="4612" max="4612" width="53.44140625" customWidth="1"/>
    <col min="4613" max="4613" width="15.6640625" customWidth="1"/>
    <col min="4614" max="4614" width="15.88671875" customWidth="1"/>
    <col min="4615" max="4615" width="15.5546875" customWidth="1"/>
    <col min="4616" max="4616" width="17" customWidth="1"/>
    <col min="4617" max="4617" width="17.88671875" customWidth="1"/>
    <col min="4618" max="4618" width="14.5546875" customWidth="1"/>
    <col min="4619" max="4619" width="15.109375" customWidth="1"/>
    <col min="4620" max="4620" width="17.109375" customWidth="1"/>
    <col min="4621" max="4621" width="15.6640625" customWidth="1"/>
    <col min="4622" max="4622" width="13.5546875" bestFit="1" customWidth="1"/>
    <col min="4867" max="4867" width="8.6640625" customWidth="1"/>
    <col min="4868" max="4868" width="53.44140625" customWidth="1"/>
    <col min="4869" max="4869" width="15.6640625" customWidth="1"/>
    <col min="4870" max="4870" width="15.88671875" customWidth="1"/>
    <col min="4871" max="4871" width="15.5546875" customWidth="1"/>
    <col min="4872" max="4872" width="17" customWidth="1"/>
    <col min="4873" max="4873" width="17.88671875" customWidth="1"/>
    <col min="4874" max="4874" width="14.5546875" customWidth="1"/>
    <col min="4875" max="4875" width="15.109375" customWidth="1"/>
    <col min="4876" max="4876" width="17.109375" customWidth="1"/>
    <col min="4877" max="4877" width="15.6640625" customWidth="1"/>
    <col min="4878" max="4878" width="13.5546875" bestFit="1" customWidth="1"/>
    <col min="5123" max="5123" width="8.6640625" customWidth="1"/>
    <col min="5124" max="5124" width="53.44140625" customWidth="1"/>
    <col min="5125" max="5125" width="15.6640625" customWidth="1"/>
    <col min="5126" max="5126" width="15.88671875" customWidth="1"/>
    <col min="5127" max="5127" width="15.5546875" customWidth="1"/>
    <col min="5128" max="5128" width="17" customWidth="1"/>
    <col min="5129" max="5129" width="17.88671875" customWidth="1"/>
    <col min="5130" max="5130" width="14.5546875" customWidth="1"/>
    <col min="5131" max="5131" width="15.109375" customWidth="1"/>
    <col min="5132" max="5132" width="17.109375" customWidth="1"/>
    <col min="5133" max="5133" width="15.6640625" customWidth="1"/>
    <col min="5134" max="5134" width="13.5546875" bestFit="1" customWidth="1"/>
    <col min="5379" max="5379" width="8.6640625" customWidth="1"/>
    <col min="5380" max="5380" width="53.44140625" customWidth="1"/>
    <col min="5381" max="5381" width="15.6640625" customWidth="1"/>
    <col min="5382" max="5382" width="15.88671875" customWidth="1"/>
    <col min="5383" max="5383" width="15.5546875" customWidth="1"/>
    <col min="5384" max="5384" width="17" customWidth="1"/>
    <col min="5385" max="5385" width="17.88671875" customWidth="1"/>
    <col min="5386" max="5386" width="14.5546875" customWidth="1"/>
    <col min="5387" max="5387" width="15.109375" customWidth="1"/>
    <col min="5388" max="5388" width="17.109375" customWidth="1"/>
    <col min="5389" max="5389" width="15.6640625" customWidth="1"/>
    <col min="5390" max="5390" width="13.5546875" bestFit="1" customWidth="1"/>
    <col min="5635" max="5635" width="8.6640625" customWidth="1"/>
    <col min="5636" max="5636" width="53.44140625" customWidth="1"/>
    <col min="5637" max="5637" width="15.6640625" customWidth="1"/>
    <col min="5638" max="5638" width="15.88671875" customWidth="1"/>
    <col min="5639" max="5639" width="15.5546875" customWidth="1"/>
    <col min="5640" max="5640" width="17" customWidth="1"/>
    <col min="5641" max="5641" width="17.88671875" customWidth="1"/>
    <col min="5642" max="5642" width="14.5546875" customWidth="1"/>
    <col min="5643" max="5643" width="15.109375" customWidth="1"/>
    <col min="5644" max="5644" width="17.109375" customWidth="1"/>
    <col min="5645" max="5645" width="15.6640625" customWidth="1"/>
    <col min="5646" max="5646" width="13.5546875" bestFit="1" customWidth="1"/>
    <col min="5891" max="5891" width="8.6640625" customWidth="1"/>
    <col min="5892" max="5892" width="53.44140625" customWidth="1"/>
    <col min="5893" max="5893" width="15.6640625" customWidth="1"/>
    <col min="5894" max="5894" width="15.88671875" customWidth="1"/>
    <col min="5895" max="5895" width="15.5546875" customWidth="1"/>
    <col min="5896" max="5896" width="17" customWidth="1"/>
    <col min="5897" max="5897" width="17.88671875" customWidth="1"/>
    <col min="5898" max="5898" width="14.5546875" customWidth="1"/>
    <col min="5899" max="5899" width="15.109375" customWidth="1"/>
    <col min="5900" max="5900" width="17.109375" customWidth="1"/>
    <col min="5901" max="5901" width="15.6640625" customWidth="1"/>
    <col min="5902" max="5902" width="13.5546875" bestFit="1" customWidth="1"/>
    <col min="6147" max="6147" width="8.6640625" customWidth="1"/>
    <col min="6148" max="6148" width="53.44140625" customWidth="1"/>
    <col min="6149" max="6149" width="15.6640625" customWidth="1"/>
    <col min="6150" max="6150" width="15.88671875" customWidth="1"/>
    <col min="6151" max="6151" width="15.5546875" customWidth="1"/>
    <col min="6152" max="6152" width="17" customWidth="1"/>
    <col min="6153" max="6153" width="17.88671875" customWidth="1"/>
    <col min="6154" max="6154" width="14.5546875" customWidth="1"/>
    <col min="6155" max="6155" width="15.109375" customWidth="1"/>
    <col min="6156" max="6156" width="17.109375" customWidth="1"/>
    <col min="6157" max="6157" width="15.6640625" customWidth="1"/>
    <col min="6158" max="6158" width="13.5546875" bestFit="1" customWidth="1"/>
    <col min="6403" max="6403" width="8.6640625" customWidth="1"/>
    <col min="6404" max="6404" width="53.44140625" customWidth="1"/>
    <col min="6405" max="6405" width="15.6640625" customWidth="1"/>
    <col min="6406" max="6406" width="15.88671875" customWidth="1"/>
    <col min="6407" max="6407" width="15.5546875" customWidth="1"/>
    <col min="6408" max="6408" width="17" customWidth="1"/>
    <col min="6409" max="6409" width="17.88671875" customWidth="1"/>
    <col min="6410" max="6410" width="14.5546875" customWidth="1"/>
    <col min="6411" max="6411" width="15.109375" customWidth="1"/>
    <col min="6412" max="6412" width="17.109375" customWidth="1"/>
    <col min="6413" max="6413" width="15.6640625" customWidth="1"/>
    <col min="6414" max="6414" width="13.5546875" bestFit="1" customWidth="1"/>
    <col min="6659" max="6659" width="8.6640625" customWidth="1"/>
    <col min="6660" max="6660" width="53.44140625" customWidth="1"/>
    <col min="6661" max="6661" width="15.6640625" customWidth="1"/>
    <col min="6662" max="6662" width="15.88671875" customWidth="1"/>
    <col min="6663" max="6663" width="15.5546875" customWidth="1"/>
    <col min="6664" max="6664" width="17" customWidth="1"/>
    <col min="6665" max="6665" width="17.88671875" customWidth="1"/>
    <col min="6666" max="6666" width="14.5546875" customWidth="1"/>
    <col min="6667" max="6667" width="15.109375" customWidth="1"/>
    <col min="6668" max="6668" width="17.109375" customWidth="1"/>
    <col min="6669" max="6669" width="15.6640625" customWidth="1"/>
    <col min="6670" max="6670" width="13.5546875" bestFit="1" customWidth="1"/>
    <col min="6915" max="6915" width="8.6640625" customWidth="1"/>
    <col min="6916" max="6916" width="53.44140625" customWidth="1"/>
    <col min="6917" max="6917" width="15.6640625" customWidth="1"/>
    <col min="6918" max="6918" width="15.88671875" customWidth="1"/>
    <col min="6919" max="6919" width="15.5546875" customWidth="1"/>
    <col min="6920" max="6920" width="17" customWidth="1"/>
    <col min="6921" max="6921" width="17.88671875" customWidth="1"/>
    <col min="6922" max="6922" width="14.5546875" customWidth="1"/>
    <col min="6923" max="6923" width="15.109375" customWidth="1"/>
    <col min="6924" max="6924" width="17.109375" customWidth="1"/>
    <col min="6925" max="6925" width="15.6640625" customWidth="1"/>
    <col min="6926" max="6926" width="13.5546875" bestFit="1" customWidth="1"/>
    <col min="7171" max="7171" width="8.6640625" customWidth="1"/>
    <col min="7172" max="7172" width="53.44140625" customWidth="1"/>
    <col min="7173" max="7173" width="15.6640625" customWidth="1"/>
    <col min="7174" max="7174" width="15.88671875" customWidth="1"/>
    <col min="7175" max="7175" width="15.5546875" customWidth="1"/>
    <col min="7176" max="7176" width="17" customWidth="1"/>
    <col min="7177" max="7177" width="17.88671875" customWidth="1"/>
    <col min="7178" max="7178" width="14.5546875" customWidth="1"/>
    <col min="7179" max="7179" width="15.109375" customWidth="1"/>
    <col min="7180" max="7180" width="17.109375" customWidth="1"/>
    <col min="7181" max="7181" width="15.6640625" customWidth="1"/>
    <col min="7182" max="7182" width="13.5546875" bestFit="1" customWidth="1"/>
    <col min="7427" max="7427" width="8.6640625" customWidth="1"/>
    <col min="7428" max="7428" width="53.44140625" customWidth="1"/>
    <col min="7429" max="7429" width="15.6640625" customWidth="1"/>
    <col min="7430" max="7430" width="15.88671875" customWidth="1"/>
    <col min="7431" max="7431" width="15.5546875" customWidth="1"/>
    <col min="7432" max="7432" width="17" customWidth="1"/>
    <col min="7433" max="7433" width="17.88671875" customWidth="1"/>
    <col min="7434" max="7434" width="14.5546875" customWidth="1"/>
    <col min="7435" max="7435" width="15.109375" customWidth="1"/>
    <col min="7436" max="7436" width="17.109375" customWidth="1"/>
    <col min="7437" max="7437" width="15.6640625" customWidth="1"/>
    <col min="7438" max="7438" width="13.5546875" bestFit="1" customWidth="1"/>
    <col min="7683" max="7683" width="8.6640625" customWidth="1"/>
    <col min="7684" max="7684" width="53.44140625" customWidth="1"/>
    <col min="7685" max="7685" width="15.6640625" customWidth="1"/>
    <col min="7686" max="7686" width="15.88671875" customWidth="1"/>
    <col min="7687" max="7687" width="15.5546875" customWidth="1"/>
    <col min="7688" max="7688" width="17" customWidth="1"/>
    <col min="7689" max="7689" width="17.88671875" customWidth="1"/>
    <col min="7690" max="7690" width="14.5546875" customWidth="1"/>
    <col min="7691" max="7691" width="15.109375" customWidth="1"/>
    <col min="7692" max="7692" width="17.109375" customWidth="1"/>
    <col min="7693" max="7693" width="15.6640625" customWidth="1"/>
    <col min="7694" max="7694" width="13.5546875" bestFit="1" customWidth="1"/>
    <col min="7939" max="7939" width="8.6640625" customWidth="1"/>
    <col min="7940" max="7940" width="53.44140625" customWidth="1"/>
    <col min="7941" max="7941" width="15.6640625" customWidth="1"/>
    <col min="7942" max="7942" width="15.88671875" customWidth="1"/>
    <col min="7943" max="7943" width="15.5546875" customWidth="1"/>
    <col min="7944" max="7944" width="17" customWidth="1"/>
    <col min="7945" max="7945" width="17.88671875" customWidth="1"/>
    <col min="7946" max="7946" width="14.5546875" customWidth="1"/>
    <col min="7947" max="7947" width="15.109375" customWidth="1"/>
    <col min="7948" max="7948" width="17.109375" customWidth="1"/>
    <col min="7949" max="7949" width="15.6640625" customWidth="1"/>
    <col min="7950" max="7950" width="13.5546875" bestFit="1" customWidth="1"/>
    <col min="8195" max="8195" width="8.6640625" customWidth="1"/>
    <col min="8196" max="8196" width="53.44140625" customWidth="1"/>
    <col min="8197" max="8197" width="15.6640625" customWidth="1"/>
    <col min="8198" max="8198" width="15.88671875" customWidth="1"/>
    <col min="8199" max="8199" width="15.5546875" customWidth="1"/>
    <col min="8200" max="8200" width="17" customWidth="1"/>
    <col min="8201" max="8201" width="17.88671875" customWidth="1"/>
    <col min="8202" max="8202" width="14.5546875" customWidth="1"/>
    <col min="8203" max="8203" width="15.109375" customWidth="1"/>
    <col min="8204" max="8204" width="17.109375" customWidth="1"/>
    <col min="8205" max="8205" width="15.6640625" customWidth="1"/>
    <col min="8206" max="8206" width="13.5546875" bestFit="1" customWidth="1"/>
    <col min="8451" max="8451" width="8.6640625" customWidth="1"/>
    <col min="8452" max="8452" width="53.44140625" customWidth="1"/>
    <col min="8453" max="8453" width="15.6640625" customWidth="1"/>
    <col min="8454" max="8454" width="15.88671875" customWidth="1"/>
    <col min="8455" max="8455" width="15.5546875" customWidth="1"/>
    <col min="8456" max="8456" width="17" customWidth="1"/>
    <col min="8457" max="8457" width="17.88671875" customWidth="1"/>
    <col min="8458" max="8458" width="14.5546875" customWidth="1"/>
    <col min="8459" max="8459" width="15.109375" customWidth="1"/>
    <col min="8460" max="8460" width="17.109375" customWidth="1"/>
    <col min="8461" max="8461" width="15.6640625" customWidth="1"/>
    <col min="8462" max="8462" width="13.5546875" bestFit="1" customWidth="1"/>
    <col min="8707" max="8707" width="8.6640625" customWidth="1"/>
    <col min="8708" max="8708" width="53.44140625" customWidth="1"/>
    <col min="8709" max="8709" width="15.6640625" customWidth="1"/>
    <col min="8710" max="8710" width="15.88671875" customWidth="1"/>
    <col min="8711" max="8711" width="15.5546875" customWidth="1"/>
    <col min="8712" max="8712" width="17" customWidth="1"/>
    <col min="8713" max="8713" width="17.88671875" customWidth="1"/>
    <col min="8714" max="8714" width="14.5546875" customWidth="1"/>
    <col min="8715" max="8715" width="15.109375" customWidth="1"/>
    <col min="8716" max="8716" width="17.109375" customWidth="1"/>
    <col min="8717" max="8717" width="15.6640625" customWidth="1"/>
    <col min="8718" max="8718" width="13.5546875" bestFit="1" customWidth="1"/>
    <col min="8963" max="8963" width="8.6640625" customWidth="1"/>
    <col min="8964" max="8964" width="53.44140625" customWidth="1"/>
    <col min="8965" max="8965" width="15.6640625" customWidth="1"/>
    <col min="8966" max="8966" width="15.88671875" customWidth="1"/>
    <col min="8967" max="8967" width="15.5546875" customWidth="1"/>
    <col min="8968" max="8968" width="17" customWidth="1"/>
    <col min="8969" max="8969" width="17.88671875" customWidth="1"/>
    <col min="8970" max="8970" width="14.5546875" customWidth="1"/>
    <col min="8971" max="8971" width="15.109375" customWidth="1"/>
    <col min="8972" max="8972" width="17.109375" customWidth="1"/>
    <col min="8973" max="8973" width="15.6640625" customWidth="1"/>
    <col min="8974" max="8974" width="13.5546875" bestFit="1" customWidth="1"/>
    <col min="9219" max="9219" width="8.6640625" customWidth="1"/>
    <col min="9220" max="9220" width="53.44140625" customWidth="1"/>
    <col min="9221" max="9221" width="15.6640625" customWidth="1"/>
    <col min="9222" max="9222" width="15.88671875" customWidth="1"/>
    <col min="9223" max="9223" width="15.5546875" customWidth="1"/>
    <col min="9224" max="9224" width="17" customWidth="1"/>
    <col min="9225" max="9225" width="17.88671875" customWidth="1"/>
    <col min="9226" max="9226" width="14.5546875" customWidth="1"/>
    <col min="9227" max="9227" width="15.109375" customWidth="1"/>
    <col min="9228" max="9228" width="17.109375" customWidth="1"/>
    <col min="9229" max="9229" width="15.6640625" customWidth="1"/>
    <col min="9230" max="9230" width="13.5546875" bestFit="1" customWidth="1"/>
    <col min="9475" max="9475" width="8.6640625" customWidth="1"/>
    <col min="9476" max="9476" width="53.44140625" customWidth="1"/>
    <col min="9477" max="9477" width="15.6640625" customWidth="1"/>
    <col min="9478" max="9478" width="15.88671875" customWidth="1"/>
    <col min="9479" max="9479" width="15.5546875" customWidth="1"/>
    <col min="9480" max="9480" width="17" customWidth="1"/>
    <col min="9481" max="9481" width="17.88671875" customWidth="1"/>
    <col min="9482" max="9482" width="14.5546875" customWidth="1"/>
    <col min="9483" max="9483" width="15.109375" customWidth="1"/>
    <col min="9484" max="9484" width="17.109375" customWidth="1"/>
    <col min="9485" max="9485" width="15.6640625" customWidth="1"/>
    <col min="9486" max="9486" width="13.5546875" bestFit="1" customWidth="1"/>
    <col min="9731" max="9731" width="8.6640625" customWidth="1"/>
    <col min="9732" max="9732" width="53.44140625" customWidth="1"/>
    <col min="9733" max="9733" width="15.6640625" customWidth="1"/>
    <col min="9734" max="9734" width="15.88671875" customWidth="1"/>
    <col min="9735" max="9735" width="15.5546875" customWidth="1"/>
    <col min="9736" max="9736" width="17" customWidth="1"/>
    <col min="9737" max="9737" width="17.88671875" customWidth="1"/>
    <col min="9738" max="9738" width="14.5546875" customWidth="1"/>
    <col min="9739" max="9739" width="15.109375" customWidth="1"/>
    <col min="9740" max="9740" width="17.109375" customWidth="1"/>
    <col min="9741" max="9741" width="15.6640625" customWidth="1"/>
    <col min="9742" max="9742" width="13.5546875" bestFit="1" customWidth="1"/>
    <col min="9987" max="9987" width="8.6640625" customWidth="1"/>
    <col min="9988" max="9988" width="53.44140625" customWidth="1"/>
    <col min="9989" max="9989" width="15.6640625" customWidth="1"/>
    <col min="9990" max="9990" width="15.88671875" customWidth="1"/>
    <col min="9991" max="9991" width="15.5546875" customWidth="1"/>
    <col min="9992" max="9992" width="17" customWidth="1"/>
    <col min="9993" max="9993" width="17.88671875" customWidth="1"/>
    <col min="9994" max="9994" width="14.5546875" customWidth="1"/>
    <col min="9995" max="9995" width="15.109375" customWidth="1"/>
    <col min="9996" max="9996" width="17.109375" customWidth="1"/>
    <col min="9997" max="9997" width="15.6640625" customWidth="1"/>
    <col min="9998" max="9998" width="13.5546875" bestFit="1" customWidth="1"/>
    <col min="10243" max="10243" width="8.6640625" customWidth="1"/>
    <col min="10244" max="10244" width="53.44140625" customWidth="1"/>
    <col min="10245" max="10245" width="15.6640625" customWidth="1"/>
    <col min="10246" max="10246" width="15.88671875" customWidth="1"/>
    <col min="10247" max="10247" width="15.5546875" customWidth="1"/>
    <col min="10248" max="10248" width="17" customWidth="1"/>
    <col min="10249" max="10249" width="17.88671875" customWidth="1"/>
    <col min="10250" max="10250" width="14.5546875" customWidth="1"/>
    <col min="10251" max="10251" width="15.109375" customWidth="1"/>
    <col min="10252" max="10252" width="17.109375" customWidth="1"/>
    <col min="10253" max="10253" width="15.6640625" customWidth="1"/>
    <col min="10254" max="10254" width="13.5546875" bestFit="1" customWidth="1"/>
    <col min="10499" max="10499" width="8.6640625" customWidth="1"/>
    <col min="10500" max="10500" width="53.44140625" customWidth="1"/>
    <col min="10501" max="10501" width="15.6640625" customWidth="1"/>
    <col min="10502" max="10502" width="15.88671875" customWidth="1"/>
    <col min="10503" max="10503" width="15.5546875" customWidth="1"/>
    <col min="10504" max="10504" width="17" customWidth="1"/>
    <col min="10505" max="10505" width="17.88671875" customWidth="1"/>
    <col min="10506" max="10506" width="14.5546875" customWidth="1"/>
    <col min="10507" max="10507" width="15.109375" customWidth="1"/>
    <col min="10508" max="10508" width="17.109375" customWidth="1"/>
    <col min="10509" max="10509" width="15.6640625" customWidth="1"/>
    <col min="10510" max="10510" width="13.5546875" bestFit="1" customWidth="1"/>
    <col min="10755" max="10755" width="8.6640625" customWidth="1"/>
    <col min="10756" max="10756" width="53.44140625" customWidth="1"/>
    <col min="10757" max="10757" width="15.6640625" customWidth="1"/>
    <col min="10758" max="10758" width="15.88671875" customWidth="1"/>
    <col min="10759" max="10759" width="15.5546875" customWidth="1"/>
    <col min="10760" max="10760" width="17" customWidth="1"/>
    <col min="10761" max="10761" width="17.88671875" customWidth="1"/>
    <col min="10762" max="10762" width="14.5546875" customWidth="1"/>
    <col min="10763" max="10763" width="15.109375" customWidth="1"/>
    <col min="10764" max="10764" width="17.109375" customWidth="1"/>
    <col min="10765" max="10765" width="15.6640625" customWidth="1"/>
    <col min="10766" max="10766" width="13.5546875" bestFit="1" customWidth="1"/>
    <col min="11011" max="11011" width="8.6640625" customWidth="1"/>
    <col min="11012" max="11012" width="53.44140625" customWidth="1"/>
    <col min="11013" max="11013" width="15.6640625" customWidth="1"/>
    <col min="11014" max="11014" width="15.88671875" customWidth="1"/>
    <col min="11015" max="11015" width="15.5546875" customWidth="1"/>
    <col min="11016" max="11016" width="17" customWidth="1"/>
    <col min="11017" max="11017" width="17.88671875" customWidth="1"/>
    <col min="11018" max="11018" width="14.5546875" customWidth="1"/>
    <col min="11019" max="11019" width="15.109375" customWidth="1"/>
    <col min="11020" max="11020" width="17.109375" customWidth="1"/>
    <col min="11021" max="11021" width="15.6640625" customWidth="1"/>
    <col min="11022" max="11022" width="13.5546875" bestFit="1" customWidth="1"/>
    <col min="11267" max="11267" width="8.6640625" customWidth="1"/>
    <col min="11268" max="11268" width="53.44140625" customWidth="1"/>
    <col min="11269" max="11269" width="15.6640625" customWidth="1"/>
    <col min="11270" max="11270" width="15.88671875" customWidth="1"/>
    <col min="11271" max="11271" width="15.5546875" customWidth="1"/>
    <col min="11272" max="11272" width="17" customWidth="1"/>
    <col min="11273" max="11273" width="17.88671875" customWidth="1"/>
    <col min="11274" max="11274" width="14.5546875" customWidth="1"/>
    <col min="11275" max="11275" width="15.109375" customWidth="1"/>
    <col min="11276" max="11276" width="17.109375" customWidth="1"/>
    <col min="11277" max="11277" width="15.6640625" customWidth="1"/>
    <col min="11278" max="11278" width="13.5546875" bestFit="1" customWidth="1"/>
    <col min="11523" max="11523" width="8.6640625" customWidth="1"/>
    <col min="11524" max="11524" width="53.44140625" customWidth="1"/>
    <col min="11525" max="11525" width="15.6640625" customWidth="1"/>
    <col min="11526" max="11526" width="15.88671875" customWidth="1"/>
    <col min="11527" max="11527" width="15.5546875" customWidth="1"/>
    <col min="11528" max="11528" width="17" customWidth="1"/>
    <col min="11529" max="11529" width="17.88671875" customWidth="1"/>
    <col min="11530" max="11530" width="14.5546875" customWidth="1"/>
    <col min="11531" max="11531" width="15.109375" customWidth="1"/>
    <col min="11532" max="11532" width="17.109375" customWidth="1"/>
    <col min="11533" max="11533" width="15.6640625" customWidth="1"/>
    <col min="11534" max="11534" width="13.5546875" bestFit="1" customWidth="1"/>
    <col min="11779" max="11779" width="8.6640625" customWidth="1"/>
    <col min="11780" max="11780" width="53.44140625" customWidth="1"/>
    <col min="11781" max="11781" width="15.6640625" customWidth="1"/>
    <col min="11782" max="11782" width="15.88671875" customWidth="1"/>
    <col min="11783" max="11783" width="15.5546875" customWidth="1"/>
    <col min="11784" max="11784" width="17" customWidth="1"/>
    <col min="11785" max="11785" width="17.88671875" customWidth="1"/>
    <col min="11786" max="11786" width="14.5546875" customWidth="1"/>
    <col min="11787" max="11787" width="15.109375" customWidth="1"/>
    <col min="11788" max="11788" width="17.109375" customWidth="1"/>
    <col min="11789" max="11789" width="15.6640625" customWidth="1"/>
    <col min="11790" max="11790" width="13.5546875" bestFit="1" customWidth="1"/>
    <col min="12035" max="12035" width="8.6640625" customWidth="1"/>
    <col min="12036" max="12036" width="53.44140625" customWidth="1"/>
    <col min="12037" max="12037" width="15.6640625" customWidth="1"/>
    <col min="12038" max="12038" width="15.88671875" customWidth="1"/>
    <col min="12039" max="12039" width="15.5546875" customWidth="1"/>
    <col min="12040" max="12040" width="17" customWidth="1"/>
    <col min="12041" max="12041" width="17.88671875" customWidth="1"/>
    <col min="12042" max="12042" width="14.5546875" customWidth="1"/>
    <col min="12043" max="12043" width="15.109375" customWidth="1"/>
    <col min="12044" max="12044" width="17.109375" customWidth="1"/>
    <col min="12045" max="12045" width="15.6640625" customWidth="1"/>
    <col min="12046" max="12046" width="13.5546875" bestFit="1" customWidth="1"/>
    <col min="12291" max="12291" width="8.6640625" customWidth="1"/>
    <col min="12292" max="12292" width="53.44140625" customWidth="1"/>
    <col min="12293" max="12293" width="15.6640625" customWidth="1"/>
    <col min="12294" max="12294" width="15.88671875" customWidth="1"/>
    <col min="12295" max="12295" width="15.5546875" customWidth="1"/>
    <col min="12296" max="12296" width="17" customWidth="1"/>
    <col min="12297" max="12297" width="17.88671875" customWidth="1"/>
    <col min="12298" max="12298" width="14.5546875" customWidth="1"/>
    <col min="12299" max="12299" width="15.109375" customWidth="1"/>
    <col min="12300" max="12300" width="17.109375" customWidth="1"/>
    <col min="12301" max="12301" width="15.6640625" customWidth="1"/>
    <col min="12302" max="12302" width="13.5546875" bestFit="1" customWidth="1"/>
    <col min="12547" max="12547" width="8.6640625" customWidth="1"/>
    <col min="12548" max="12548" width="53.44140625" customWidth="1"/>
    <col min="12549" max="12549" width="15.6640625" customWidth="1"/>
    <col min="12550" max="12550" width="15.88671875" customWidth="1"/>
    <col min="12551" max="12551" width="15.5546875" customWidth="1"/>
    <col min="12552" max="12552" width="17" customWidth="1"/>
    <col min="12553" max="12553" width="17.88671875" customWidth="1"/>
    <col min="12554" max="12554" width="14.5546875" customWidth="1"/>
    <col min="12555" max="12555" width="15.109375" customWidth="1"/>
    <col min="12556" max="12556" width="17.109375" customWidth="1"/>
    <col min="12557" max="12557" width="15.6640625" customWidth="1"/>
    <col min="12558" max="12558" width="13.5546875" bestFit="1" customWidth="1"/>
    <col min="12803" max="12803" width="8.6640625" customWidth="1"/>
    <col min="12804" max="12804" width="53.44140625" customWidth="1"/>
    <col min="12805" max="12805" width="15.6640625" customWidth="1"/>
    <col min="12806" max="12806" width="15.88671875" customWidth="1"/>
    <col min="12807" max="12807" width="15.5546875" customWidth="1"/>
    <col min="12808" max="12808" width="17" customWidth="1"/>
    <col min="12809" max="12809" width="17.88671875" customWidth="1"/>
    <col min="12810" max="12810" width="14.5546875" customWidth="1"/>
    <col min="12811" max="12811" width="15.109375" customWidth="1"/>
    <col min="12812" max="12812" width="17.109375" customWidth="1"/>
    <col min="12813" max="12813" width="15.6640625" customWidth="1"/>
    <col min="12814" max="12814" width="13.5546875" bestFit="1" customWidth="1"/>
    <col min="13059" max="13059" width="8.6640625" customWidth="1"/>
    <col min="13060" max="13060" width="53.44140625" customWidth="1"/>
    <col min="13061" max="13061" width="15.6640625" customWidth="1"/>
    <col min="13062" max="13062" width="15.88671875" customWidth="1"/>
    <col min="13063" max="13063" width="15.5546875" customWidth="1"/>
    <col min="13064" max="13064" width="17" customWidth="1"/>
    <col min="13065" max="13065" width="17.88671875" customWidth="1"/>
    <col min="13066" max="13066" width="14.5546875" customWidth="1"/>
    <col min="13067" max="13067" width="15.109375" customWidth="1"/>
    <col min="13068" max="13068" width="17.109375" customWidth="1"/>
    <col min="13069" max="13069" width="15.6640625" customWidth="1"/>
    <col min="13070" max="13070" width="13.5546875" bestFit="1" customWidth="1"/>
    <col min="13315" max="13315" width="8.6640625" customWidth="1"/>
    <col min="13316" max="13316" width="53.44140625" customWidth="1"/>
    <col min="13317" max="13317" width="15.6640625" customWidth="1"/>
    <col min="13318" max="13318" width="15.88671875" customWidth="1"/>
    <col min="13319" max="13319" width="15.5546875" customWidth="1"/>
    <col min="13320" max="13320" width="17" customWidth="1"/>
    <col min="13321" max="13321" width="17.88671875" customWidth="1"/>
    <col min="13322" max="13322" width="14.5546875" customWidth="1"/>
    <col min="13323" max="13323" width="15.109375" customWidth="1"/>
    <col min="13324" max="13324" width="17.109375" customWidth="1"/>
    <col min="13325" max="13325" width="15.6640625" customWidth="1"/>
    <col min="13326" max="13326" width="13.5546875" bestFit="1" customWidth="1"/>
    <col min="13571" max="13571" width="8.6640625" customWidth="1"/>
    <col min="13572" max="13572" width="53.44140625" customWidth="1"/>
    <col min="13573" max="13573" width="15.6640625" customWidth="1"/>
    <col min="13574" max="13574" width="15.88671875" customWidth="1"/>
    <col min="13575" max="13575" width="15.5546875" customWidth="1"/>
    <col min="13576" max="13576" width="17" customWidth="1"/>
    <col min="13577" max="13577" width="17.88671875" customWidth="1"/>
    <col min="13578" max="13578" width="14.5546875" customWidth="1"/>
    <col min="13579" max="13579" width="15.109375" customWidth="1"/>
    <col min="13580" max="13580" width="17.109375" customWidth="1"/>
    <col min="13581" max="13581" width="15.6640625" customWidth="1"/>
    <col min="13582" max="13582" width="13.5546875" bestFit="1" customWidth="1"/>
    <col min="13827" max="13827" width="8.6640625" customWidth="1"/>
    <col min="13828" max="13828" width="53.44140625" customWidth="1"/>
    <col min="13829" max="13829" width="15.6640625" customWidth="1"/>
    <col min="13830" max="13830" width="15.88671875" customWidth="1"/>
    <col min="13831" max="13831" width="15.5546875" customWidth="1"/>
    <col min="13832" max="13832" width="17" customWidth="1"/>
    <col min="13833" max="13833" width="17.88671875" customWidth="1"/>
    <col min="13834" max="13834" width="14.5546875" customWidth="1"/>
    <col min="13835" max="13835" width="15.109375" customWidth="1"/>
    <col min="13836" max="13836" width="17.109375" customWidth="1"/>
    <col min="13837" max="13837" width="15.6640625" customWidth="1"/>
    <col min="13838" max="13838" width="13.5546875" bestFit="1" customWidth="1"/>
    <col min="14083" max="14083" width="8.6640625" customWidth="1"/>
    <col min="14084" max="14084" width="53.44140625" customWidth="1"/>
    <col min="14085" max="14085" width="15.6640625" customWidth="1"/>
    <col min="14086" max="14086" width="15.88671875" customWidth="1"/>
    <col min="14087" max="14087" width="15.5546875" customWidth="1"/>
    <col min="14088" max="14088" width="17" customWidth="1"/>
    <col min="14089" max="14089" width="17.88671875" customWidth="1"/>
    <col min="14090" max="14090" width="14.5546875" customWidth="1"/>
    <col min="14091" max="14091" width="15.109375" customWidth="1"/>
    <col min="14092" max="14092" width="17.109375" customWidth="1"/>
    <col min="14093" max="14093" width="15.6640625" customWidth="1"/>
    <col min="14094" max="14094" width="13.5546875" bestFit="1" customWidth="1"/>
    <col min="14339" max="14339" width="8.6640625" customWidth="1"/>
    <col min="14340" max="14340" width="53.44140625" customWidth="1"/>
    <col min="14341" max="14341" width="15.6640625" customWidth="1"/>
    <col min="14342" max="14342" width="15.88671875" customWidth="1"/>
    <col min="14343" max="14343" width="15.5546875" customWidth="1"/>
    <col min="14344" max="14344" width="17" customWidth="1"/>
    <col min="14345" max="14345" width="17.88671875" customWidth="1"/>
    <col min="14346" max="14346" width="14.5546875" customWidth="1"/>
    <col min="14347" max="14347" width="15.109375" customWidth="1"/>
    <col min="14348" max="14348" width="17.109375" customWidth="1"/>
    <col min="14349" max="14349" width="15.6640625" customWidth="1"/>
    <col min="14350" max="14350" width="13.5546875" bestFit="1" customWidth="1"/>
    <col min="14595" max="14595" width="8.6640625" customWidth="1"/>
    <col min="14596" max="14596" width="53.44140625" customWidth="1"/>
    <col min="14597" max="14597" width="15.6640625" customWidth="1"/>
    <col min="14598" max="14598" width="15.88671875" customWidth="1"/>
    <col min="14599" max="14599" width="15.5546875" customWidth="1"/>
    <col min="14600" max="14600" width="17" customWidth="1"/>
    <col min="14601" max="14601" width="17.88671875" customWidth="1"/>
    <col min="14602" max="14602" width="14.5546875" customWidth="1"/>
    <col min="14603" max="14603" width="15.109375" customWidth="1"/>
    <col min="14604" max="14604" width="17.109375" customWidth="1"/>
    <col min="14605" max="14605" width="15.6640625" customWidth="1"/>
    <col min="14606" max="14606" width="13.5546875" bestFit="1" customWidth="1"/>
    <col min="14851" max="14851" width="8.6640625" customWidth="1"/>
    <col min="14852" max="14852" width="53.44140625" customWidth="1"/>
    <col min="14853" max="14853" width="15.6640625" customWidth="1"/>
    <col min="14854" max="14854" width="15.88671875" customWidth="1"/>
    <col min="14855" max="14855" width="15.5546875" customWidth="1"/>
    <col min="14856" max="14856" width="17" customWidth="1"/>
    <col min="14857" max="14857" width="17.88671875" customWidth="1"/>
    <col min="14858" max="14858" width="14.5546875" customWidth="1"/>
    <col min="14859" max="14859" width="15.109375" customWidth="1"/>
    <col min="14860" max="14860" width="17.109375" customWidth="1"/>
    <col min="14861" max="14861" width="15.6640625" customWidth="1"/>
    <col min="14862" max="14862" width="13.5546875" bestFit="1" customWidth="1"/>
    <col min="15107" max="15107" width="8.6640625" customWidth="1"/>
    <col min="15108" max="15108" width="53.44140625" customWidth="1"/>
    <col min="15109" max="15109" width="15.6640625" customWidth="1"/>
    <col min="15110" max="15110" width="15.88671875" customWidth="1"/>
    <col min="15111" max="15111" width="15.5546875" customWidth="1"/>
    <col min="15112" max="15112" width="17" customWidth="1"/>
    <col min="15113" max="15113" width="17.88671875" customWidth="1"/>
    <col min="15114" max="15114" width="14.5546875" customWidth="1"/>
    <col min="15115" max="15115" width="15.109375" customWidth="1"/>
    <col min="15116" max="15116" width="17.109375" customWidth="1"/>
    <col min="15117" max="15117" width="15.6640625" customWidth="1"/>
    <col min="15118" max="15118" width="13.5546875" bestFit="1" customWidth="1"/>
    <col min="15363" max="15363" width="8.6640625" customWidth="1"/>
    <col min="15364" max="15364" width="53.44140625" customWidth="1"/>
    <col min="15365" max="15365" width="15.6640625" customWidth="1"/>
    <col min="15366" max="15366" width="15.88671875" customWidth="1"/>
    <col min="15367" max="15367" width="15.5546875" customWidth="1"/>
    <col min="15368" max="15368" width="17" customWidth="1"/>
    <col min="15369" max="15369" width="17.88671875" customWidth="1"/>
    <col min="15370" max="15370" width="14.5546875" customWidth="1"/>
    <col min="15371" max="15371" width="15.109375" customWidth="1"/>
    <col min="15372" max="15372" width="17.109375" customWidth="1"/>
    <col min="15373" max="15373" width="15.6640625" customWidth="1"/>
    <col min="15374" max="15374" width="13.5546875" bestFit="1" customWidth="1"/>
    <col min="15619" max="15619" width="8.6640625" customWidth="1"/>
    <col min="15620" max="15620" width="53.44140625" customWidth="1"/>
    <col min="15621" max="15621" width="15.6640625" customWidth="1"/>
    <col min="15622" max="15622" width="15.88671875" customWidth="1"/>
    <col min="15623" max="15623" width="15.5546875" customWidth="1"/>
    <col min="15624" max="15624" width="17" customWidth="1"/>
    <col min="15625" max="15625" width="17.88671875" customWidth="1"/>
    <col min="15626" max="15626" width="14.5546875" customWidth="1"/>
    <col min="15627" max="15627" width="15.109375" customWidth="1"/>
    <col min="15628" max="15628" width="17.109375" customWidth="1"/>
    <col min="15629" max="15629" width="15.6640625" customWidth="1"/>
    <col min="15630" max="15630" width="13.5546875" bestFit="1" customWidth="1"/>
    <col min="15875" max="15875" width="8.6640625" customWidth="1"/>
    <col min="15876" max="15876" width="53.44140625" customWidth="1"/>
    <col min="15877" max="15877" width="15.6640625" customWidth="1"/>
    <col min="15878" max="15878" width="15.88671875" customWidth="1"/>
    <col min="15879" max="15879" width="15.5546875" customWidth="1"/>
    <col min="15880" max="15880" width="17" customWidth="1"/>
    <col min="15881" max="15881" width="17.88671875" customWidth="1"/>
    <col min="15882" max="15882" width="14.5546875" customWidth="1"/>
    <col min="15883" max="15883" width="15.109375" customWidth="1"/>
    <col min="15884" max="15884" width="17.109375" customWidth="1"/>
    <col min="15885" max="15885" width="15.6640625" customWidth="1"/>
    <col min="15886" max="15886" width="13.5546875" bestFit="1" customWidth="1"/>
    <col min="16131" max="16131" width="8.6640625" customWidth="1"/>
    <col min="16132" max="16132" width="53.44140625" customWidth="1"/>
    <col min="16133" max="16133" width="15.6640625" customWidth="1"/>
    <col min="16134" max="16134" width="15.88671875" customWidth="1"/>
    <col min="16135" max="16135" width="15.5546875" customWidth="1"/>
    <col min="16136" max="16136" width="17" customWidth="1"/>
    <col min="16137" max="16137" width="17.88671875" customWidth="1"/>
    <col min="16138" max="16138" width="14.5546875" customWidth="1"/>
    <col min="16139" max="16139" width="15.109375" customWidth="1"/>
    <col min="16140" max="16140" width="17.109375" customWidth="1"/>
    <col min="16141" max="16141" width="15.6640625" customWidth="1"/>
    <col min="16142" max="16142" width="13.5546875" bestFit="1" customWidth="1"/>
  </cols>
  <sheetData>
    <row r="1" spans="1:14" ht="15.6" x14ac:dyDescent="0.3">
      <c r="G1" s="132"/>
      <c r="H1" s="132"/>
      <c r="I1" s="132"/>
      <c r="J1" s="536"/>
      <c r="K1" s="953" t="s">
        <v>935</v>
      </c>
      <c r="L1" s="953"/>
      <c r="M1" s="953"/>
      <c r="N1" s="953"/>
    </row>
    <row r="2" spans="1:14" ht="15.75" customHeight="1" x14ac:dyDescent="0.3">
      <c r="G2" s="132"/>
      <c r="H2" s="132"/>
      <c r="I2" s="132"/>
      <c r="J2" s="971" t="s">
        <v>980</v>
      </c>
      <c r="K2" s="971"/>
      <c r="L2" s="971"/>
      <c r="M2" s="971"/>
      <c r="N2" s="971"/>
    </row>
    <row r="3" spans="1:14" ht="15.6" x14ac:dyDescent="0.3">
      <c r="G3" s="972" t="s">
        <v>1031</v>
      </c>
      <c r="H3" s="972"/>
      <c r="I3" s="972"/>
      <c r="J3" s="972"/>
      <c r="K3" s="972"/>
      <c r="L3" s="972"/>
      <c r="M3" s="972"/>
      <c r="N3" s="972"/>
    </row>
    <row r="4" spans="1:14" ht="15.6" x14ac:dyDescent="0.3">
      <c r="G4" s="581"/>
      <c r="H4" s="581"/>
      <c r="I4" s="581"/>
      <c r="J4" s="581"/>
      <c r="K4" s="581"/>
      <c r="L4" s="581"/>
      <c r="M4" s="581"/>
      <c r="N4" s="581" t="s">
        <v>1561</v>
      </c>
    </row>
    <row r="6" spans="1:14" ht="16.8" x14ac:dyDescent="0.3">
      <c r="A6" s="954" t="s">
        <v>1098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4"/>
      <c r="M6" s="954"/>
      <c r="N6" s="954"/>
    </row>
    <row r="7" spans="1:14" ht="16.8" x14ac:dyDescent="0.3">
      <c r="A7" s="346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</row>
    <row r="8" spans="1:14" ht="16.5" customHeight="1" x14ac:dyDescent="0.3">
      <c r="A8" s="970" t="s">
        <v>996</v>
      </c>
      <c r="B8" s="970"/>
      <c r="C8" s="970"/>
      <c r="D8" s="712"/>
      <c r="E8" s="713">
        <v>0</v>
      </c>
      <c r="F8" s="346"/>
      <c r="G8" s="346"/>
      <c r="H8" s="346"/>
      <c r="I8" s="346"/>
      <c r="J8" s="346"/>
      <c r="K8" s="346"/>
      <c r="L8" s="346"/>
      <c r="M8" s="346"/>
      <c r="N8" s="346"/>
    </row>
    <row r="9" spans="1:14" ht="16.5" customHeight="1" x14ac:dyDescent="0.3">
      <c r="A9" s="970" t="s">
        <v>1102</v>
      </c>
      <c r="B9" s="970"/>
      <c r="C9" s="970"/>
      <c r="D9" s="712"/>
      <c r="E9" s="714">
        <f>N29</f>
        <v>724.07857999999396</v>
      </c>
      <c r="F9" s="143"/>
      <c r="G9" s="143"/>
      <c r="H9" s="143"/>
      <c r="I9" s="143"/>
      <c r="J9" s="143"/>
      <c r="K9" s="143"/>
      <c r="L9" s="346"/>
      <c r="M9" s="143"/>
      <c r="N9" s="143"/>
    </row>
    <row r="10" spans="1:14" ht="16.8" x14ac:dyDescent="0.3">
      <c r="A10" s="954" t="s">
        <v>621</v>
      </c>
      <c r="B10" s="954"/>
      <c r="C10" s="954"/>
      <c r="D10" s="954"/>
      <c r="E10" s="954"/>
      <c r="F10" s="954"/>
      <c r="G10" s="954"/>
      <c r="H10" s="954"/>
      <c r="I10" s="954"/>
      <c r="J10" s="954"/>
      <c r="K10" s="954"/>
      <c r="L10" s="954"/>
      <c r="M10" s="954"/>
      <c r="N10" s="954"/>
    </row>
    <row r="11" spans="1:14" ht="16.8" x14ac:dyDescent="0.3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346"/>
      <c r="M11" s="143"/>
      <c r="N11" s="143"/>
    </row>
    <row r="12" spans="1:14" s="1" customFormat="1" ht="15" customHeight="1" x14ac:dyDescent="0.3">
      <c r="A12" s="955" t="s">
        <v>618</v>
      </c>
      <c r="B12" s="955" t="s">
        <v>622</v>
      </c>
      <c r="C12" s="961" t="s">
        <v>852</v>
      </c>
      <c r="D12" s="962"/>
      <c r="E12" s="962"/>
      <c r="F12" s="962"/>
      <c r="G12" s="965" t="s">
        <v>1099</v>
      </c>
      <c r="H12" s="965"/>
      <c r="I12" s="965"/>
      <c r="J12" s="965"/>
      <c r="K12" s="966" t="s">
        <v>997</v>
      </c>
      <c r="L12" s="966"/>
      <c r="M12" s="966"/>
      <c r="N12" s="966"/>
    </row>
    <row r="13" spans="1:14" s="1" customFormat="1" ht="15" customHeight="1" x14ac:dyDescent="0.3">
      <c r="A13" s="955"/>
      <c r="B13" s="955"/>
      <c r="C13" s="963"/>
      <c r="D13" s="964"/>
      <c r="E13" s="964"/>
      <c r="F13" s="964"/>
      <c r="G13" s="965"/>
      <c r="H13" s="965"/>
      <c r="I13" s="965"/>
      <c r="J13" s="965"/>
      <c r="K13" s="966"/>
      <c r="L13" s="966"/>
      <c r="M13" s="966"/>
      <c r="N13" s="966"/>
    </row>
    <row r="14" spans="1:14" s="1" customFormat="1" ht="15.6" x14ac:dyDescent="0.3">
      <c r="A14" s="955"/>
      <c r="B14" s="955"/>
      <c r="C14" s="956" t="s">
        <v>836</v>
      </c>
      <c r="D14" s="958" t="s">
        <v>110</v>
      </c>
      <c r="E14" s="959"/>
      <c r="F14" s="960"/>
      <c r="G14" s="956" t="s">
        <v>836</v>
      </c>
      <c r="H14" s="958" t="s">
        <v>110</v>
      </c>
      <c r="I14" s="959"/>
      <c r="J14" s="960"/>
      <c r="K14" s="956" t="s">
        <v>836</v>
      </c>
      <c r="L14" s="967" t="s">
        <v>110</v>
      </c>
      <c r="M14" s="968"/>
      <c r="N14" s="969"/>
    </row>
    <row r="15" spans="1:14" s="1" customFormat="1" ht="46.8" x14ac:dyDescent="0.3">
      <c r="A15" s="955"/>
      <c r="B15" s="955"/>
      <c r="C15" s="957"/>
      <c r="D15" s="142" t="s">
        <v>623</v>
      </c>
      <c r="E15" s="144" t="s">
        <v>619</v>
      </c>
      <c r="F15" s="144" t="s">
        <v>620</v>
      </c>
      <c r="G15" s="957"/>
      <c r="H15" s="142" t="s">
        <v>623</v>
      </c>
      <c r="I15" s="144" t="s">
        <v>619</v>
      </c>
      <c r="J15" s="144" t="s">
        <v>620</v>
      </c>
      <c r="K15" s="957"/>
      <c r="L15" s="347" t="s">
        <v>623</v>
      </c>
      <c r="M15" s="144" t="s">
        <v>619</v>
      </c>
      <c r="N15" s="144" t="s">
        <v>620</v>
      </c>
    </row>
    <row r="16" spans="1:14" s="1" customFormat="1" ht="15.6" x14ac:dyDescent="0.3">
      <c r="A16" s="145" t="s">
        <v>624</v>
      </c>
      <c r="B16" s="146" t="s">
        <v>625</v>
      </c>
      <c r="C16" s="147">
        <f t="shared" ref="C16:N16" si="0">SUM(C18:C21)</f>
        <v>152559.42155</v>
      </c>
      <c r="D16" s="147">
        <f t="shared" si="0"/>
        <v>71884.223440000002</v>
      </c>
      <c r="E16" s="147">
        <f t="shared" si="0"/>
        <v>29055.071550000001</v>
      </c>
      <c r="F16" s="147">
        <f t="shared" si="0"/>
        <v>51620.126560000004</v>
      </c>
      <c r="G16" s="147">
        <f t="shared" si="0"/>
        <v>152244.97064000001</v>
      </c>
      <c r="H16" s="147">
        <f t="shared" si="0"/>
        <v>71884.223440000002</v>
      </c>
      <c r="I16" s="147">
        <f t="shared" si="0"/>
        <v>29055.071550000001</v>
      </c>
      <c r="J16" s="147">
        <f t="shared" si="0"/>
        <v>51305.675650000005</v>
      </c>
      <c r="K16" s="147">
        <f t="shared" si="0"/>
        <v>-314.45090999999957</v>
      </c>
      <c r="L16" s="147">
        <f t="shared" si="0"/>
        <v>0</v>
      </c>
      <c r="M16" s="147">
        <f t="shared" si="0"/>
        <v>0</v>
      </c>
      <c r="N16" s="147">
        <f t="shared" si="0"/>
        <v>-314.45090999999957</v>
      </c>
    </row>
    <row r="17" spans="1:18" s="1" customFormat="1" ht="16.8" x14ac:dyDescent="0.3">
      <c r="A17" s="145"/>
      <c r="B17" s="146" t="s">
        <v>626</v>
      </c>
      <c r="C17" s="148"/>
      <c r="D17" s="148"/>
      <c r="E17" s="148"/>
      <c r="F17" s="148"/>
      <c r="G17" s="148"/>
      <c r="H17" s="148"/>
      <c r="I17" s="148"/>
      <c r="J17" s="148"/>
      <c r="K17" s="148"/>
      <c r="L17" s="700"/>
      <c r="M17" s="148"/>
      <c r="N17" s="149"/>
    </row>
    <row r="18" spans="1:18" s="1" customFormat="1" ht="81.75" customHeight="1" x14ac:dyDescent="0.3">
      <c r="A18" s="145" t="s">
        <v>627</v>
      </c>
      <c r="B18" s="150" t="s">
        <v>628</v>
      </c>
      <c r="C18" s="151">
        <f>SUM(E18:F18)</f>
        <v>24666.799999999999</v>
      </c>
      <c r="D18" s="152">
        <v>0</v>
      </c>
      <c r="E18" s="149">
        <v>0</v>
      </c>
      <c r="F18" s="152">
        <v>24666.799999999999</v>
      </c>
      <c r="G18" s="151">
        <f>SUM(I18:J18)</f>
        <v>24352.34909</v>
      </c>
      <c r="H18" s="152">
        <v>0</v>
      </c>
      <c r="I18" s="149">
        <v>0</v>
      </c>
      <c r="J18" s="152">
        <v>24352.34909</v>
      </c>
      <c r="K18" s="147">
        <f>SUM(M18:N18)</f>
        <v>-314.45090999999957</v>
      </c>
      <c r="L18" s="699">
        <f>H18-D18</f>
        <v>0</v>
      </c>
      <c r="M18" s="699">
        <f t="shared" ref="M18:N18" si="1">I18-E18</f>
        <v>0</v>
      </c>
      <c r="N18" s="699">
        <f t="shared" si="1"/>
        <v>-314.45090999999957</v>
      </c>
    </row>
    <row r="19" spans="1:18" s="1" customFormat="1" ht="73.5" customHeight="1" x14ac:dyDescent="0.3">
      <c r="A19" s="145" t="s">
        <v>629</v>
      </c>
      <c r="B19" s="150" t="s">
        <v>630</v>
      </c>
      <c r="C19" s="151">
        <f>SUM(E19:F19)</f>
        <v>26059.895570000001</v>
      </c>
      <c r="D19" s="152">
        <v>0</v>
      </c>
      <c r="E19" s="152">
        <v>26059.895570000001</v>
      </c>
      <c r="F19" s="152">
        <v>0</v>
      </c>
      <c r="G19" s="151">
        <f>SUM(I19:J19)</f>
        <v>26059.895570000001</v>
      </c>
      <c r="H19" s="152">
        <v>0</v>
      </c>
      <c r="I19" s="152">
        <v>26059.895570000001</v>
      </c>
      <c r="J19" s="149">
        <v>0</v>
      </c>
      <c r="K19" s="147">
        <f>SUM(M19:N19)</f>
        <v>0</v>
      </c>
      <c r="L19" s="699">
        <f t="shared" ref="L19:L20" si="2">H19-D19</f>
        <v>0</v>
      </c>
      <c r="M19" s="699">
        <f t="shared" ref="M19:M20" si="3">I19-E19</f>
        <v>0</v>
      </c>
      <c r="N19" s="699">
        <f t="shared" ref="N19:N20" si="4">J19-F19</f>
        <v>0</v>
      </c>
      <c r="P19" s="180"/>
      <c r="Q19" s="180"/>
      <c r="R19" s="180"/>
    </row>
    <row r="20" spans="1:18" s="1" customFormat="1" ht="55.5" customHeight="1" x14ac:dyDescent="0.3">
      <c r="A20" s="145" t="s">
        <v>631</v>
      </c>
      <c r="B20" s="150" t="s">
        <v>615</v>
      </c>
      <c r="C20" s="151">
        <f>SUM(D20:F20)</f>
        <v>74879.399420000002</v>
      </c>
      <c r="D20" s="152">
        <v>71884.223440000002</v>
      </c>
      <c r="E20" s="152">
        <v>2995.17598</v>
      </c>
      <c r="F20" s="152">
        <v>0</v>
      </c>
      <c r="G20" s="151">
        <f>SUM(H20:J20)</f>
        <v>74879.399420000002</v>
      </c>
      <c r="H20" s="152">
        <v>71884.223440000002</v>
      </c>
      <c r="I20" s="152">
        <v>2995.17598</v>
      </c>
      <c r="J20" s="152">
        <v>0</v>
      </c>
      <c r="K20" s="147">
        <f>SUM(M20:N20)</f>
        <v>0</v>
      </c>
      <c r="L20" s="699">
        <f t="shared" si="2"/>
        <v>0</v>
      </c>
      <c r="M20" s="699">
        <f t="shared" si="3"/>
        <v>0</v>
      </c>
      <c r="N20" s="699">
        <f t="shared" si="4"/>
        <v>0</v>
      </c>
    </row>
    <row r="21" spans="1:18" s="1" customFormat="1" ht="24" customHeight="1" x14ac:dyDescent="0.3">
      <c r="A21" s="145" t="s">
        <v>632</v>
      </c>
      <c r="B21" s="150" t="s">
        <v>633</v>
      </c>
      <c r="C21" s="151">
        <f>F21</f>
        <v>26953.326560000005</v>
      </c>
      <c r="D21" s="151">
        <v>0</v>
      </c>
      <c r="E21" s="152">
        <v>0</v>
      </c>
      <c r="F21" s="152">
        <f>F29-F18-F19</f>
        <v>26953.326560000005</v>
      </c>
      <c r="G21" s="151">
        <f>J21</f>
        <v>26953.326560000005</v>
      </c>
      <c r="H21" s="151">
        <v>0</v>
      </c>
      <c r="I21" s="152">
        <v>0</v>
      </c>
      <c r="J21" s="152">
        <f>F21</f>
        <v>26953.326560000005</v>
      </c>
      <c r="K21" s="147">
        <f>SUM(M21:N21)</f>
        <v>0</v>
      </c>
      <c r="L21" s="699">
        <f t="shared" ref="L21" si="5">H21-D21</f>
        <v>0</v>
      </c>
      <c r="M21" s="699">
        <f t="shared" ref="M21" si="6">I21-E21</f>
        <v>0</v>
      </c>
      <c r="N21" s="699">
        <f t="shared" ref="N21" si="7">J21-F21</f>
        <v>0</v>
      </c>
    </row>
    <row r="22" spans="1:18" s="1" customFormat="1" ht="15.6" x14ac:dyDescent="0.3">
      <c r="A22" s="153"/>
      <c r="B22" s="154"/>
      <c r="C22" s="155"/>
      <c r="D22" s="155"/>
      <c r="E22" s="156"/>
      <c r="F22" s="156"/>
      <c r="G22" s="155"/>
      <c r="H22" s="155"/>
      <c r="I22" s="156"/>
      <c r="J22" s="156"/>
      <c r="K22" s="157"/>
      <c r="L22" s="157"/>
      <c r="M22" s="158"/>
      <c r="N22" s="158"/>
    </row>
    <row r="23" spans="1:18" s="1" customFormat="1" ht="15.6" x14ac:dyDescent="0.3">
      <c r="A23" s="973" t="s">
        <v>634</v>
      </c>
      <c r="B23" s="973"/>
      <c r="C23" s="973"/>
      <c r="D23" s="973"/>
      <c r="E23" s="973"/>
      <c r="F23" s="973"/>
      <c r="G23" s="973"/>
      <c r="H23" s="973"/>
      <c r="I23" s="973"/>
      <c r="J23" s="973"/>
      <c r="K23" s="973"/>
      <c r="L23" s="973"/>
      <c r="M23" s="973"/>
      <c r="N23" s="973"/>
    </row>
    <row r="24" spans="1:18" ht="16.8" x14ac:dyDescent="0.3">
      <c r="A24" s="159"/>
      <c r="B24" s="159"/>
      <c r="C24" s="143"/>
      <c r="D24" s="143"/>
      <c r="E24" s="143"/>
      <c r="F24" s="143"/>
      <c r="G24" s="143"/>
      <c r="H24" s="143"/>
      <c r="I24" s="143"/>
      <c r="J24" s="143"/>
    </row>
    <row r="25" spans="1:18" ht="15" customHeight="1" x14ac:dyDescent="0.3">
      <c r="A25" s="955" t="s">
        <v>618</v>
      </c>
      <c r="B25" s="955" t="s">
        <v>635</v>
      </c>
      <c r="C25" s="961" t="s">
        <v>852</v>
      </c>
      <c r="D25" s="962"/>
      <c r="E25" s="962"/>
      <c r="F25" s="962"/>
      <c r="G25" s="965" t="s">
        <v>1100</v>
      </c>
      <c r="H25" s="965"/>
      <c r="I25" s="965"/>
      <c r="J25" s="965"/>
      <c r="K25" s="966" t="s">
        <v>997</v>
      </c>
      <c r="L25" s="966"/>
      <c r="M25" s="966"/>
      <c r="N25" s="966"/>
    </row>
    <row r="26" spans="1:18" ht="15" customHeight="1" x14ac:dyDescent="0.3">
      <c r="A26" s="955"/>
      <c r="B26" s="955"/>
      <c r="C26" s="963"/>
      <c r="D26" s="964"/>
      <c r="E26" s="964"/>
      <c r="F26" s="964"/>
      <c r="G26" s="965"/>
      <c r="H26" s="965"/>
      <c r="I26" s="965"/>
      <c r="J26" s="965"/>
      <c r="K26" s="966"/>
      <c r="L26" s="966"/>
      <c r="M26" s="966"/>
      <c r="N26" s="966"/>
    </row>
    <row r="27" spans="1:18" ht="15.6" x14ac:dyDescent="0.3">
      <c r="A27" s="955"/>
      <c r="B27" s="955"/>
      <c r="C27" s="956" t="s">
        <v>836</v>
      </c>
      <c r="D27" s="974" t="s">
        <v>110</v>
      </c>
      <c r="E27" s="975"/>
      <c r="F27" s="976"/>
      <c r="G27" s="956" t="s">
        <v>836</v>
      </c>
      <c r="H27" s="974" t="s">
        <v>110</v>
      </c>
      <c r="I27" s="975"/>
      <c r="J27" s="976"/>
      <c r="K27" s="956" t="s">
        <v>836</v>
      </c>
      <c r="L27" s="967" t="s">
        <v>110</v>
      </c>
      <c r="M27" s="968"/>
      <c r="N27" s="969"/>
    </row>
    <row r="28" spans="1:18" ht="46.8" x14ac:dyDescent="0.3">
      <c r="A28" s="955"/>
      <c r="B28" s="955"/>
      <c r="C28" s="957"/>
      <c r="D28" s="142" t="s">
        <v>623</v>
      </c>
      <c r="E28" s="144" t="s">
        <v>619</v>
      </c>
      <c r="F28" s="144" t="s">
        <v>620</v>
      </c>
      <c r="G28" s="957"/>
      <c r="H28" s="142" t="s">
        <v>623</v>
      </c>
      <c r="I28" s="144" t="s">
        <v>619</v>
      </c>
      <c r="J28" s="144" t="s">
        <v>620</v>
      </c>
      <c r="K28" s="957"/>
      <c r="L28" s="347" t="s">
        <v>623</v>
      </c>
      <c r="M28" s="144" t="s">
        <v>619</v>
      </c>
      <c r="N28" s="144" t="s">
        <v>620</v>
      </c>
    </row>
    <row r="29" spans="1:18" ht="48" customHeight="1" x14ac:dyDescent="0.3">
      <c r="A29" s="211" t="s">
        <v>624</v>
      </c>
      <c r="B29" s="212" t="s">
        <v>636</v>
      </c>
      <c r="C29" s="213">
        <f t="shared" ref="C29:K29" si="8">C30+C94</f>
        <v>152559.42155</v>
      </c>
      <c r="D29" s="213">
        <f t="shared" si="8"/>
        <v>71884.223440000002</v>
      </c>
      <c r="E29" s="213">
        <f t="shared" si="8"/>
        <v>29055.071549999997</v>
      </c>
      <c r="F29" s="213">
        <f t="shared" si="8"/>
        <v>51620.126560000004</v>
      </c>
      <c r="G29" s="213">
        <f t="shared" si="8"/>
        <v>151835.34297</v>
      </c>
      <c r="H29" s="213">
        <f t="shared" si="8"/>
        <v>71884.223440000002</v>
      </c>
      <c r="I29" s="213">
        <f t="shared" si="8"/>
        <v>29055.071549999997</v>
      </c>
      <c r="J29" s="213">
        <f t="shared" si="8"/>
        <v>50896.04798000001</v>
      </c>
      <c r="K29" s="213">
        <f t="shared" si="8"/>
        <v>724.07858000000056</v>
      </c>
      <c r="L29" s="701">
        <f>D29-H29</f>
        <v>0</v>
      </c>
      <c r="M29" s="701">
        <f t="shared" ref="M29:N29" si="9">E29-I29</f>
        <v>0</v>
      </c>
      <c r="N29" s="701">
        <f t="shared" si="9"/>
        <v>724.07857999999396</v>
      </c>
    </row>
    <row r="30" spans="1:18" s="160" customFormat="1" ht="31.2" x14ac:dyDescent="0.3">
      <c r="A30" s="214" t="s">
        <v>627</v>
      </c>
      <c r="B30" s="215" t="s">
        <v>637</v>
      </c>
      <c r="C30" s="216">
        <f t="shared" ref="C30:K30" si="10">C31+C35+C90+C92+C33</f>
        <v>151559.54930000001</v>
      </c>
      <c r="D30" s="216">
        <f t="shared" si="10"/>
        <v>71884.223440000002</v>
      </c>
      <c r="E30" s="216">
        <f t="shared" si="10"/>
        <v>29055.071549999997</v>
      </c>
      <c r="F30" s="216">
        <f t="shared" si="10"/>
        <v>50620.254310000004</v>
      </c>
      <c r="G30" s="216">
        <f t="shared" si="10"/>
        <v>150861.17071999999</v>
      </c>
      <c r="H30" s="216">
        <f t="shared" si="10"/>
        <v>71884.223440000002</v>
      </c>
      <c r="I30" s="216">
        <f t="shared" si="10"/>
        <v>29055.071549999997</v>
      </c>
      <c r="J30" s="216">
        <f t="shared" si="10"/>
        <v>49921.875730000007</v>
      </c>
      <c r="K30" s="216">
        <f t="shared" si="10"/>
        <v>698.37858000000051</v>
      </c>
      <c r="L30" s="702">
        <f t="shared" ref="L30:L93" si="11">D30-H30</f>
        <v>0</v>
      </c>
      <c r="M30" s="216">
        <f t="shared" ref="M30:M93" si="12">E30-I30</f>
        <v>0</v>
      </c>
      <c r="N30" s="216">
        <f t="shared" ref="N30:N93" si="13">F30-J30</f>
        <v>698.37857999999687</v>
      </c>
    </row>
    <row r="31" spans="1:18" s="161" customFormat="1" ht="46.8" x14ac:dyDescent="0.3">
      <c r="A31" s="218" t="s">
        <v>638</v>
      </c>
      <c r="B31" s="219" t="s">
        <v>830</v>
      </c>
      <c r="C31" s="220">
        <f>C32</f>
        <v>539.5</v>
      </c>
      <c r="D31" s="220">
        <f t="shared" ref="D31:K31" si="14">D32</f>
        <v>0</v>
      </c>
      <c r="E31" s="220">
        <f t="shared" si="14"/>
        <v>0</v>
      </c>
      <c r="F31" s="220">
        <f t="shared" si="14"/>
        <v>539.5</v>
      </c>
      <c r="G31" s="220">
        <f t="shared" si="14"/>
        <v>539.5</v>
      </c>
      <c r="H31" s="220">
        <f t="shared" si="14"/>
        <v>0</v>
      </c>
      <c r="I31" s="220">
        <f t="shared" si="14"/>
        <v>0</v>
      </c>
      <c r="J31" s="220">
        <f t="shared" si="14"/>
        <v>539.5</v>
      </c>
      <c r="K31" s="220">
        <f t="shared" si="14"/>
        <v>0</v>
      </c>
      <c r="L31" s="703">
        <f t="shared" si="11"/>
        <v>0</v>
      </c>
      <c r="M31" s="220">
        <f t="shared" si="12"/>
        <v>0</v>
      </c>
      <c r="N31" s="220">
        <f t="shared" si="13"/>
        <v>0</v>
      </c>
    </row>
    <row r="32" spans="1:18" s="165" customFormat="1" ht="31.2" x14ac:dyDescent="0.3">
      <c r="A32" s="318"/>
      <c r="B32" s="325" t="s">
        <v>827</v>
      </c>
      <c r="C32" s="164">
        <f>F32</f>
        <v>539.5</v>
      </c>
      <c r="D32" s="319">
        <v>0</v>
      </c>
      <c r="E32" s="319">
        <v>0</v>
      </c>
      <c r="F32" s="319">
        <v>539.5</v>
      </c>
      <c r="G32" s="319">
        <f>J32</f>
        <v>539.5</v>
      </c>
      <c r="H32" s="319">
        <v>0</v>
      </c>
      <c r="I32" s="319">
        <v>0</v>
      </c>
      <c r="J32" s="319">
        <v>539.5</v>
      </c>
      <c r="K32" s="319">
        <v>0</v>
      </c>
      <c r="L32" s="704">
        <f t="shared" si="11"/>
        <v>0</v>
      </c>
      <c r="M32" s="319">
        <f t="shared" si="12"/>
        <v>0</v>
      </c>
      <c r="N32" s="319">
        <f t="shared" si="13"/>
        <v>0</v>
      </c>
    </row>
    <row r="33" spans="1:14" s="165" customFormat="1" ht="35.25" customHeight="1" x14ac:dyDescent="0.3">
      <c r="A33" s="218" t="s">
        <v>639</v>
      </c>
      <c r="B33" s="219" t="s">
        <v>693</v>
      </c>
      <c r="C33" s="220">
        <f>C34</f>
        <v>200</v>
      </c>
      <c r="D33" s="220">
        <v>0</v>
      </c>
      <c r="E33" s="220">
        <v>0</v>
      </c>
      <c r="F33" s="220">
        <f>F34</f>
        <v>200</v>
      </c>
      <c r="G33" s="220">
        <f t="shared" ref="G33:J33" si="15">G34</f>
        <v>200</v>
      </c>
      <c r="H33" s="220">
        <f t="shared" si="15"/>
        <v>0</v>
      </c>
      <c r="I33" s="220">
        <f t="shared" si="15"/>
        <v>0</v>
      </c>
      <c r="J33" s="220">
        <f t="shared" si="15"/>
        <v>200</v>
      </c>
      <c r="K33" s="220">
        <v>0</v>
      </c>
      <c r="L33" s="703">
        <f t="shared" si="11"/>
        <v>0</v>
      </c>
      <c r="M33" s="220">
        <f t="shared" si="12"/>
        <v>0</v>
      </c>
      <c r="N33" s="220">
        <f t="shared" si="13"/>
        <v>0</v>
      </c>
    </row>
    <row r="34" spans="1:14" s="165" customFormat="1" ht="29.25" customHeight="1" x14ac:dyDescent="0.3">
      <c r="A34" s="162"/>
      <c r="B34" s="163" t="s">
        <v>694</v>
      </c>
      <c r="C34" s="164">
        <f>F34</f>
        <v>200</v>
      </c>
      <c r="D34" s="164">
        <v>0</v>
      </c>
      <c r="E34" s="164">
        <v>0</v>
      </c>
      <c r="F34" s="164">
        <f>285-85</f>
        <v>200</v>
      </c>
      <c r="G34" s="319">
        <f>J34</f>
        <v>200</v>
      </c>
      <c r="H34" s="164">
        <v>0</v>
      </c>
      <c r="I34" s="164">
        <v>0</v>
      </c>
      <c r="J34" s="164">
        <v>200</v>
      </c>
      <c r="K34" s="164">
        <v>0</v>
      </c>
      <c r="L34" s="704">
        <f t="shared" si="11"/>
        <v>0</v>
      </c>
      <c r="M34" s="164">
        <f t="shared" si="12"/>
        <v>0</v>
      </c>
      <c r="N34" s="164">
        <f t="shared" si="13"/>
        <v>0</v>
      </c>
    </row>
    <row r="35" spans="1:14" s="161" customFormat="1" ht="31.2" x14ac:dyDescent="0.3">
      <c r="A35" s="218" t="s">
        <v>644</v>
      </c>
      <c r="B35" s="221" t="s">
        <v>640</v>
      </c>
      <c r="C35" s="220">
        <f>C36+C66+C50</f>
        <v>43580.471489999996</v>
      </c>
      <c r="D35" s="220">
        <v>0</v>
      </c>
      <c r="E35" s="220">
        <f>E36+E66+E50</f>
        <v>26059.895569999997</v>
      </c>
      <c r="F35" s="220">
        <f>F36+F66+F50</f>
        <v>17520.575920000003</v>
      </c>
      <c r="G35" s="220">
        <f>G36+G66+G50</f>
        <v>43580.471489999996</v>
      </c>
      <c r="H35" s="220">
        <v>0</v>
      </c>
      <c r="I35" s="220">
        <f>I36+I66+I50</f>
        <v>26059.895569999997</v>
      </c>
      <c r="J35" s="220">
        <f>J36+J66+J50</f>
        <v>17520.575920000003</v>
      </c>
      <c r="K35" s="220">
        <f>K36+K66+K50</f>
        <v>0</v>
      </c>
      <c r="L35" s="703">
        <f t="shared" si="11"/>
        <v>0</v>
      </c>
      <c r="M35" s="220">
        <f t="shared" si="12"/>
        <v>0</v>
      </c>
      <c r="N35" s="220">
        <f t="shared" si="13"/>
        <v>0</v>
      </c>
    </row>
    <row r="36" spans="1:14" s="188" customFormat="1" ht="31.2" x14ac:dyDescent="0.3">
      <c r="A36" s="185"/>
      <c r="B36" s="186" t="s">
        <v>641</v>
      </c>
      <c r="C36" s="187">
        <f>E36+F36</f>
        <v>28955.439559999999</v>
      </c>
      <c r="D36" s="187">
        <v>0</v>
      </c>
      <c r="E36" s="187">
        <f>SUM(E37:E49)</f>
        <v>26059.895569999997</v>
      </c>
      <c r="F36" s="187">
        <f>SUM(F37:F49)</f>
        <v>2895.5439900000006</v>
      </c>
      <c r="G36" s="187">
        <f>SUM(I36+J36)</f>
        <v>28955.439559999999</v>
      </c>
      <c r="H36" s="187">
        <v>0</v>
      </c>
      <c r="I36" s="187">
        <f>SUM(I37:I49)</f>
        <v>26059.895569999997</v>
      </c>
      <c r="J36" s="187">
        <f>SUM(J37:J49)</f>
        <v>2895.5439900000006</v>
      </c>
      <c r="K36" s="187">
        <f>SUM(M36+N36)</f>
        <v>0</v>
      </c>
      <c r="L36" s="705">
        <f t="shared" si="11"/>
        <v>0</v>
      </c>
      <c r="M36" s="187">
        <f t="shared" si="12"/>
        <v>0</v>
      </c>
      <c r="N36" s="187">
        <f t="shared" si="13"/>
        <v>0</v>
      </c>
    </row>
    <row r="37" spans="1:14" s="710" customFormat="1" ht="31.2" x14ac:dyDescent="0.3">
      <c r="A37" s="162"/>
      <c r="B37" s="708" t="s">
        <v>701</v>
      </c>
      <c r="C37" s="184">
        <f>D37+E37+F37</f>
        <v>3710.7764000000002</v>
      </c>
      <c r="D37" s="184">
        <v>0</v>
      </c>
      <c r="E37" s="709">
        <v>3339.6987600000002</v>
      </c>
      <c r="F37" s="709">
        <v>371.07763999999997</v>
      </c>
      <c r="G37" s="184">
        <f>H37+I37+J37</f>
        <v>3710.7764000000002</v>
      </c>
      <c r="H37" s="184">
        <v>0</v>
      </c>
      <c r="I37" s="709">
        <v>3339.6987600000002</v>
      </c>
      <c r="J37" s="709">
        <v>371.07763999999997</v>
      </c>
      <c r="K37" s="164">
        <v>0</v>
      </c>
      <c r="L37" s="704">
        <f t="shared" si="11"/>
        <v>0</v>
      </c>
      <c r="M37" s="164">
        <f t="shared" si="12"/>
        <v>0</v>
      </c>
      <c r="N37" s="164">
        <f t="shared" si="13"/>
        <v>0</v>
      </c>
    </row>
    <row r="38" spans="1:14" s="165" customFormat="1" ht="31.2" x14ac:dyDescent="0.3">
      <c r="A38" s="162"/>
      <c r="B38" s="333" t="s">
        <v>702</v>
      </c>
      <c r="C38" s="184">
        <f t="shared" ref="C38:C49" si="16">D38+E38+F38</f>
        <v>6989.3533900000002</v>
      </c>
      <c r="D38" s="184">
        <v>0</v>
      </c>
      <c r="E38" s="184">
        <v>6290.4180500000002</v>
      </c>
      <c r="F38" s="184">
        <v>698.93534</v>
      </c>
      <c r="G38" s="184">
        <f t="shared" ref="G38" si="17">H38+I38+J38</f>
        <v>6989.3533900000002</v>
      </c>
      <c r="H38" s="184">
        <v>0</v>
      </c>
      <c r="I38" s="184">
        <v>6290.4180500000002</v>
      </c>
      <c r="J38" s="184">
        <v>698.93534</v>
      </c>
      <c r="K38" s="164">
        <v>0</v>
      </c>
      <c r="L38" s="704">
        <f t="shared" si="11"/>
        <v>0</v>
      </c>
      <c r="M38" s="164">
        <f t="shared" si="12"/>
        <v>0</v>
      </c>
      <c r="N38" s="164">
        <f t="shared" si="13"/>
        <v>0</v>
      </c>
    </row>
    <row r="39" spans="1:14" s="165" customFormat="1" ht="15.6" x14ac:dyDescent="0.3">
      <c r="A39" s="162"/>
      <c r="B39" s="333" t="s">
        <v>703</v>
      </c>
      <c r="C39" s="184">
        <f t="shared" si="16"/>
        <v>4928.31466</v>
      </c>
      <c r="D39" s="184">
        <v>0</v>
      </c>
      <c r="E39" s="184">
        <v>4435.4831899999999</v>
      </c>
      <c r="F39" s="184">
        <v>492.83147000000002</v>
      </c>
      <c r="G39" s="184">
        <f t="shared" ref="G39:G43" si="18">H39+I39+J39</f>
        <v>4928.31466</v>
      </c>
      <c r="H39" s="184">
        <v>0</v>
      </c>
      <c r="I39" s="184">
        <v>4435.4831899999999</v>
      </c>
      <c r="J39" s="184">
        <v>492.83147000000002</v>
      </c>
      <c r="K39" s="164">
        <v>0</v>
      </c>
      <c r="L39" s="704">
        <f t="shared" si="11"/>
        <v>0</v>
      </c>
      <c r="M39" s="164">
        <f t="shared" si="12"/>
        <v>0</v>
      </c>
      <c r="N39" s="164">
        <f t="shared" si="13"/>
        <v>0</v>
      </c>
    </row>
    <row r="40" spans="1:14" s="165" customFormat="1" ht="15.6" x14ac:dyDescent="0.3">
      <c r="A40" s="162"/>
      <c r="B40" s="333" t="s">
        <v>704</v>
      </c>
      <c r="C40" s="184">
        <f t="shared" si="16"/>
        <v>600</v>
      </c>
      <c r="D40" s="184">
        <v>0</v>
      </c>
      <c r="E40" s="184">
        <v>540</v>
      </c>
      <c r="F40" s="184">
        <v>60</v>
      </c>
      <c r="G40" s="184">
        <f t="shared" si="18"/>
        <v>600</v>
      </c>
      <c r="H40" s="184">
        <v>0</v>
      </c>
      <c r="I40" s="184">
        <v>540</v>
      </c>
      <c r="J40" s="184">
        <v>60</v>
      </c>
      <c r="K40" s="164">
        <v>0</v>
      </c>
      <c r="L40" s="704">
        <f t="shared" si="11"/>
        <v>0</v>
      </c>
      <c r="M40" s="164">
        <f t="shared" si="12"/>
        <v>0</v>
      </c>
      <c r="N40" s="164">
        <f t="shared" si="13"/>
        <v>0</v>
      </c>
    </row>
    <row r="41" spans="1:14" s="165" customFormat="1" ht="15.6" x14ac:dyDescent="0.3">
      <c r="A41" s="162"/>
      <c r="B41" s="333" t="s">
        <v>705</v>
      </c>
      <c r="C41" s="184">
        <f t="shared" si="16"/>
        <v>837.89409999999998</v>
      </c>
      <c r="D41" s="184">
        <v>0</v>
      </c>
      <c r="E41" s="184">
        <v>754.10469000000001</v>
      </c>
      <c r="F41" s="184">
        <v>83.789410000000004</v>
      </c>
      <c r="G41" s="184">
        <f t="shared" si="18"/>
        <v>837.89409999999998</v>
      </c>
      <c r="H41" s="184">
        <v>0</v>
      </c>
      <c r="I41" s="184">
        <v>754.10469000000001</v>
      </c>
      <c r="J41" s="184">
        <v>83.789410000000004</v>
      </c>
      <c r="K41" s="164">
        <v>0</v>
      </c>
      <c r="L41" s="704">
        <f t="shared" si="11"/>
        <v>0</v>
      </c>
      <c r="M41" s="164">
        <f t="shared" si="12"/>
        <v>0</v>
      </c>
      <c r="N41" s="164">
        <f t="shared" si="13"/>
        <v>0</v>
      </c>
    </row>
    <row r="42" spans="1:14" s="165" customFormat="1" ht="15.6" x14ac:dyDescent="0.3">
      <c r="A42" s="162"/>
      <c r="B42" s="333" t="s">
        <v>706</v>
      </c>
      <c r="C42" s="184">
        <f t="shared" si="16"/>
        <v>792.48118999999997</v>
      </c>
      <c r="D42" s="184">
        <v>0</v>
      </c>
      <c r="E42" s="184">
        <v>713.23307</v>
      </c>
      <c r="F42" s="184">
        <v>79.24812</v>
      </c>
      <c r="G42" s="184">
        <f t="shared" si="18"/>
        <v>792.48118999999997</v>
      </c>
      <c r="H42" s="184">
        <v>0</v>
      </c>
      <c r="I42" s="184">
        <v>713.23307</v>
      </c>
      <c r="J42" s="184">
        <v>79.24812</v>
      </c>
      <c r="K42" s="164">
        <v>0</v>
      </c>
      <c r="L42" s="704">
        <f t="shared" si="11"/>
        <v>0</v>
      </c>
      <c r="M42" s="164">
        <f t="shared" si="12"/>
        <v>0</v>
      </c>
      <c r="N42" s="164">
        <f t="shared" si="13"/>
        <v>0</v>
      </c>
    </row>
    <row r="43" spans="1:14" s="165" customFormat="1" ht="31.2" x14ac:dyDescent="0.3">
      <c r="A43" s="162"/>
      <c r="B43" s="333" t="s">
        <v>707</v>
      </c>
      <c r="C43" s="184">
        <f t="shared" si="16"/>
        <v>950.31331</v>
      </c>
      <c r="D43" s="184">
        <v>0</v>
      </c>
      <c r="E43" s="184">
        <v>855.28197</v>
      </c>
      <c r="F43" s="184">
        <v>95.03134</v>
      </c>
      <c r="G43" s="184">
        <f t="shared" si="18"/>
        <v>950.31331</v>
      </c>
      <c r="H43" s="184">
        <v>0</v>
      </c>
      <c r="I43" s="184">
        <v>855.28197</v>
      </c>
      <c r="J43" s="184">
        <v>95.03134</v>
      </c>
      <c r="K43" s="164">
        <v>0</v>
      </c>
      <c r="L43" s="704">
        <f t="shared" si="11"/>
        <v>0</v>
      </c>
      <c r="M43" s="164">
        <f t="shared" si="12"/>
        <v>0</v>
      </c>
      <c r="N43" s="164">
        <f t="shared" si="13"/>
        <v>0</v>
      </c>
    </row>
    <row r="44" spans="1:14" s="165" customFormat="1" ht="15.6" x14ac:dyDescent="0.3">
      <c r="A44" s="162"/>
      <c r="B44" s="333" t="s">
        <v>708</v>
      </c>
      <c r="C44" s="184">
        <f t="shared" si="16"/>
        <v>1749.8029199999999</v>
      </c>
      <c r="D44" s="184">
        <v>0</v>
      </c>
      <c r="E44" s="184">
        <v>1574.8226199999999</v>
      </c>
      <c r="F44" s="184">
        <v>174.9803</v>
      </c>
      <c r="G44" s="184">
        <f t="shared" ref="G44" si="19">H44+I44+J44</f>
        <v>1749.8029199999999</v>
      </c>
      <c r="H44" s="184">
        <v>0</v>
      </c>
      <c r="I44" s="184">
        <v>1574.8226199999999</v>
      </c>
      <c r="J44" s="184">
        <v>174.9803</v>
      </c>
      <c r="K44" s="164">
        <v>0</v>
      </c>
      <c r="L44" s="704">
        <f t="shared" si="11"/>
        <v>0</v>
      </c>
      <c r="M44" s="164">
        <f t="shared" si="12"/>
        <v>0</v>
      </c>
      <c r="N44" s="164">
        <f t="shared" si="13"/>
        <v>0</v>
      </c>
    </row>
    <row r="45" spans="1:14" s="165" customFormat="1" ht="31.2" x14ac:dyDescent="0.3">
      <c r="A45" s="162"/>
      <c r="B45" s="333" t="s">
        <v>709</v>
      </c>
      <c r="C45" s="184">
        <f t="shared" si="16"/>
        <v>3750</v>
      </c>
      <c r="D45" s="184">
        <v>0</v>
      </c>
      <c r="E45" s="184">
        <v>3375</v>
      </c>
      <c r="F45" s="184">
        <v>375</v>
      </c>
      <c r="G45" s="184">
        <f t="shared" ref="G45" si="20">H45+I45+J45</f>
        <v>3750</v>
      </c>
      <c r="H45" s="184">
        <v>0</v>
      </c>
      <c r="I45" s="184">
        <v>3375</v>
      </c>
      <c r="J45" s="184">
        <v>375</v>
      </c>
      <c r="K45" s="164">
        <v>0</v>
      </c>
      <c r="L45" s="704">
        <f t="shared" si="11"/>
        <v>0</v>
      </c>
      <c r="M45" s="164">
        <f t="shared" si="12"/>
        <v>0</v>
      </c>
      <c r="N45" s="164">
        <f t="shared" si="13"/>
        <v>0</v>
      </c>
    </row>
    <row r="46" spans="1:14" s="165" customFormat="1" ht="15.6" x14ac:dyDescent="0.3">
      <c r="A46" s="162"/>
      <c r="B46" s="333" t="s">
        <v>710</v>
      </c>
      <c r="C46" s="184">
        <f t="shared" si="16"/>
        <v>1543.22019</v>
      </c>
      <c r="D46" s="184">
        <v>0</v>
      </c>
      <c r="E46" s="184">
        <v>1388.8981699999999</v>
      </c>
      <c r="F46" s="184">
        <v>154.32202000000001</v>
      </c>
      <c r="G46" s="184">
        <f t="shared" ref="G46" si="21">H46+I46+J46</f>
        <v>1543.22019</v>
      </c>
      <c r="H46" s="184">
        <v>0</v>
      </c>
      <c r="I46" s="184">
        <v>1388.8981699999999</v>
      </c>
      <c r="J46" s="184">
        <v>154.32202000000001</v>
      </c>
      <c r="K46" s="164">
        <v>0</v>
      </c>
      <c r="L46" s="704">
        <f t="shared" si="11"/>
        <v>0</v>
      </c>
      <c r="M46" s="164">
        <f t="shared" si="12"/>
        <v>0</v>
      </c>
      <c r="N46" s="164">
        <f t="shared" si="13"/>
        <v>0</v>
      </c>
    </row>
    <row r="47" spans="1:14" s="165" customFormat="1" ht="31.2" x14ac:dyDescent="0.3">
      <c r="A47" s="162"/>
      <c r="B47" s="333" t="s">
        <v>711</v>
      </c>
      <c r="C47" s="184">
        <f t="shared" si="16"/>
        <v>1146.4693100000002</v>
      </c>
      <c r="D47" s="184">
        <v>0</v>
      </c>
      <c r="E47" s="184">
        <v>1031.8223700000001</v>
      </c>
      <c r="F47" s="184">
        <v>114.64694</v>
      </c>
      <c r="G47" s="184">
        <f t="shared" ref="G47:G49" si="22">H47+I47+J47</f>
        <v>1146.4693100000002</v>
      </c>
      <c r="H47" s="184">
        <v>0</v>
      </c>
      <c r="I47" s="184">
        <v>1031.8223700000001</v>
      </c>
      <c r="J47" s="184">
        <v>114.64694</v>
      </c>
      <c r="K47" s="164">
        <v>0</v>
      </c>
      <c r="L47" s="704">
        <f t="shared" si="11"/>
        <v>0</v>
      </c>
      <c r="M47" s="164">
        <f t="shared" si="12"/>
        <v>0</v>
      </c>
      <c r="N47" s="164">
        <f t="shared" si="13"/>
        <v>0</v>
      </c>
    </row>
    <row r="48" spans="1:14" s="165" customFormat="1" ht="31.2" x14ac:dyDescent="0.3">
      <c r="A48" s="162"/>
      <c r="B48" s="333" t="s">
        <v>712</v>
      </c>
      <c r="C48" s="184">
        <f t="shared" si="16"/>
        <v>1112.1059</v>
      </c>
      <c r="D48" s="184">
        <v>0</v>
      </c>
      <c r="E48" s="184">
        <v>1000.89531</v>
      </c>
      <c r="F48" s="184">
        <v>111.21059</v>
      </c>
      <c r="G48" s="184">
        <f t="shared" si="22"/>
        <v>1112.1059</v>
      </c>
      <c r="H48" s="184">
        <v>0</v>
      </c>
      <c r="I48" s="184">
        <v>1000.89531</v>
      </c>
      <c r="J48" s="184">
        <v>111.21059</v>
      </c>
      <c r="K48" s="164">
        <v>0</v>
      </c>
      <c r="L48" s="704">
        <f t="shared" si="11"/>
        <v>0</v>
      </c>
      <c r="M48" s="164">
        <f t="shared" si="12"/>
        <v>0</v>
      </c>
      <c r="N48" s="164">
        <f t="shared" si="13"/>
        <v>0</v>
      </c>
    </row>
    <row r="49" spans="1:16" s="165" customFormat="1" ht="31.2" x14ac:dyDescent="0.3">
      <c r="A49" s="162"/>
      <c r="B49" s="333" t="s">
        <v>713</v>
      </c>
      <c r="C49" s="184">
        <f t="shared" si="16"/>
        <v>844.70819000000006</v>
      </c>
      <c r="D49" s="184">
        <v>0</v>
      </c>
      <c r="E49" s="184">
        <v>760.23737000000006</v>
      </c>
      <c r="F49" s="184">
        <v>84.470820000000003</v>
      </c>
      <c r="G49" s="184">
        <f t="shared" si="22"/>
        <v>844.70819000000006</v>
      </c>
      <c r="H49" s="184">
        <v>0</v>
      </c>
      <c r="I49" s="184">
        <v>760.23737000000006</v>
      </c>
      <c r="J49" s="184">
        <v>84.470820000000003</v>
      </c>
      <c r="K49" s="164">
        <v>0</v>
      </c>
      <c r="L49" s="704">
        <f t="shared" si="11"/>
        <v>0</v>
      </c>
      <c r="M49" s="164">
        <f t="shared" si="12"/>
        <v>0</v>
      </c>
      <c r="N49" s="164">
        <f t="shared" si="13"/>
        <v>0</v>
      </c>
    </row>
    <row r="50" spans="1:16" s="188" customFormat="1" ht="31.2" x14ac:dyDescent="0.3">
      <c r="A50" s="185"/>
      <c r="B50" s="186" t="s">
        <v>642</v>
      </c>
      <c r="C50" s="187">
        <f>E50+F50</f>
        <v>4858.5</v>
      </c>
      <c r="D50" s="187">
        <v>0</v>
      </c>
      <c r="E50" s="187">
        <v>0</v>
      </c>
      <c r="F50" s="187">
        <f>SUM(F51:F65)</f>
        <v>4858.5</v>
      </c>
      <c r="G50" s="187">
        <f>SUM(G51:G65)</f>
        <v>4858.5</v>
      </c>
      <c r="H50" s="187">
        <v>0</v>
      </c>
      <c r="I50" s="187">
        <v>0</v>
      </c>
      <c r="J50" s="187">
        <f>SUM(J51:J65)</f>
        <v>4858.5</v>
      </c>
      <c r="K50" s="187">
        <v>0</v>
      </c>
      <c r="L50" s="705">
        <f t="shared" si="11"/>
        <v>0</v>
      </c>
      <c r="M50" s="187">
        <f t="shared" si="12"/>
        <v>0</v>
      </c>
      <c r="N50" s="187">
        <f t="shared" si="13"/>
        <v>0</v>
      </c>
      <c r="O50" s="189"/>
      <c r="P50" s="189"/>
    </row>
    <row r="51" spans="1:16" s="165" customFormat="1" ht="31.2" x14ac:dyDescent="0.3">
      <c r="A51" s="162"/>
      <c r="B51" s="333" t="s">
        <v>714</v>
      </c>
      <c r="C51" s="184">
        <f>E51+F51</f>
        <v>387.4</v>
      </c>
      <c r="D51" s="184">
        <v>0</v>
      </c>
      <c r="E51" s="184">
        <v>0</v>
      </c>
      <c r="F51" s="184">
        <v>387.4</v>
      </c>
      <c r="G51" s="184">
        <f>I51+J51</f>
        <v>387.4</v>
      </c>
      <c r="H51" s="184">
        <v>0</v>
      </c>
      <c r="I51" s="184">
        <v>0</v>
      </c>
      <c r="J51" s="184">
        <v>387.4</v>
      </c>
      <c r="K51" s="164">
        <v>0</v>
      </c>
      <c r="L51" s="704">
        <f t="shared" si="11"/>
        <v>0</v>
      </c>
      <c r="M51" s="164">
        <f t="shared" si="12"/>
        <v>0</v>
      </c>
      <c r="N51" s="164">
        <f t="shared" si="13"/>
        <v>0</v>
      </c>
    </row>
    <row r="52" spans="1:16" s="165" customFormat="1" ht="16.5" customHeight="1" x14ac:dyDescent="0.3">
      <c r="A52" s="162"/>
      <c r="B52" s="333" t="s">
        <v>715</v>
      </c>
      <c r="C52" s="184">
        <f t="shared" ref="C52:C65" si="23">E52+F52</f>
        <v>435.6</v>
      </c>
      <c r="D52" s="184">
        <v>0</v>
      </c>
      <c r="E52" s="184">
        <v>0</v>
      </c>
      <c r="F52" s="184">
        <v>435.6</v>
      </c>
      <c r="G52" s="184">
        <f t="shared" ref="G52:G65" si="24">I52+J52</f>
        <v>435.6</v>
      </c>
      <c r="H52" s="184">
        <v>0</v>
      </c>
      <c r="I52" s="184">
        <v>0</v>
      </c>
      <c r="J52" s="184">
        <v>435.6</v>
      </c>
      <c r="K52" s="164">
        <v>0</v>
      </c>
      <c r="L52" s="704">
        <f t="shared" si="11"/>
        <v>0</v>
      </c>
      <c r="M52" s="164">
        <f t="shared" si="12"/>
        <v>0</v>
      </c>
      <c r="N52" s="164">
        <f t="shared" si="13"/>
        <v>0</v>
      </c>
    </row>
    <row r="53" spans="1:16" s="165" customFormat="1" ht="31.2" x14ac:dyDescent="0.3">
      <c r="A53" s="162"/>
      <c r="B53" s="333" t="s">
        <v>716</v>
      </c>
      <c r="C53" s="184">
        <f t="shared" si="23"/>
        <v>387.5</v>
      </c>
      <c r="D53" s="184">
        <v>0</v>
      </c>
      <c r="E53" s="184">
        <v>0</v>
      </c>
      <c r="F53" s="184">
        <v>387.5</v>
      </c>
      <c r="G53" s="184">
        <f t="shared" si="24"/>
        <v>387.5</v>
      </c>
      <c r="H53" s="184">
        <v>0</v>
      </c>
      <c r="I53" s="184">
        <v>0</v>
      </c>
      <c r="J53" s="184">
        <v>387.5</v>
      </c>
      <c r="K53" s="164">
        <v>0</v>
      </c>
      <c r="L53" s="704">
        <f t="shared" si="11"/>
        <v>0</v>
      </c>
      <c r="M53" s="164">
        <f t="shared" si="12"/>
        <v>0</v>
      </c>
      <c r="N53" s="164">
        <f t="shared" si="13"/>
        <v>0</v>
      </c>
    </row>
    <row r="54" spans="1:16" s="165" customFormat="1" ht="31.2" x14ac:dyDescent="0.3">
      <c r="A54" s="162"/>
      <c r="B54" s="333" t="s">
        <v>717</v>
      </c>
      <c r="C54" s="184">
        <f t="shared" si="23"/>
        <v>599.5</v>
      </c>
      <c r="D54" s="184">
        <v>0</v>
      </c>
      <c r="E54" s="184">
        <v>0</v>
      </c>
      <c r="F54" s="184">
        <v>599.5</v>
      </c>
      <c r="G54" s="184">
        <f t="shared" si="24"/>
        <v>599.5</v>
      </c>
      <c r="H54" s="184">
        <v>0</v>
      </c>
      <c r="I54" s="184">
        <v>0</v>
      </c>
      <c r="J54" s="184">
        <v>599.5</v>
      </c>
      <c r="K54" s="164">
        <v>0</v>
      </c>
      <c r="L54" s="704">
        <f t="shared" si="11"/>
        <v>0</v>
      </c>
      <c r="M54" s="164">
        <f t="shared" si="12"/>
        <v>0</v>
      </c>
      <c r="N54" s="164">
        <f t="shared" si="13"/>
        <v>0</v>
      </c>
    </row>
    <row r="55" spans="1:16" s="165" customFormat="1" ht="31.2" x14ac:dyDescent="0.3">
      <c r="A55" s="162"/>
      <c r="B55" s="333" t="s">
        <v>718</v>
      </c>
      <c r="C55" s="184">
        <f t="shared" si="23"/>
        <v>113.4</v>
      </c>
      <c r="D55" s="184">
        <v>0</v>
      </c>
      <c r="E55" s="184">
        <v>0</v>
      </c>
      <c r="F55" s="184">
        <v>113.4</v>
      </c>
      <c r="G55" s="184">
        <f t="shared" si="24"/>
        <v>113.4</v>
      </c>
      <c r="H55" s="184">
        <v>0</v>
      </c>
      <c r="I55" s="184">
        <v>0</v>
      </c>
      <c r="J55" s="184">
        <v>113.4</v>
      </c>
      <c r="K55" s="164">
        <v>0</v>
      </c>
      <c r="L55" s="704">
        <f t="shared" si="11"/>
        <v>0</v>
      </c>
      <c r="M55" s="164">
        <f t="shared" si="12"/>
        <v>0</v>
      </c>
      <c r="N55" s="164">
        <f t="shared" si="13"/>
        <v>0</v>
      </c>
    </row>
    <row r="56" spans="1:16" s="165" customFormat="1" ht="31.2" x14ac:dyDescent="0.3">
      <c r="A56" s="162"/>
      <c r="B56" s="333" t="s">
        <v>719</v>
      </c>
      <c r="C56" s="184">
        <f t="shared" si="23"/>
        <v>125.8</v>
      </c>
      <c r="D56" s="184">
        <v>0</v>
      </c>
      <c r="E56" s="184">
        <v>0</v>
      </c>
      <c r="F56" s="184">
        <v>125.8</v>
      </c>
      <c r="G56" s="184">
        <f t="shared" si="24"/>
        <v>125.8</v>
      </c>
      <c r="H56" s="184">
        <v>0</v>
      </c>
      <c r="I56" s="184">
        <v>0</v>
      </c>
      <c r="J56" s="184">
        <v>125.8</v>
      </c>
      <c r="K56" s="164">
        <v>0</v>
      </c>
      <c r="L56" s="704">
        <f t="shared" si="11"/>
        <v>0</v>
      </c>
      <c r="M56" s="164">
        <f t="shared" si="12"/>
        <v>0</v>
      </c>
      <c r="N56" s="164">
        <f t="shared" si="13"/>
        <v>0</v>
      </c>
    </row>
    <row r="57" spans="1:16" s="165" customFormat="1" ht="31.2" x14ac:dyDescent="0.3">
      <c r="A57" s="162"/>
      <c r="B57" s="333" t="s">
        <v>720</v>
      </c>
      <c r="C57" s="184">
        <f t="shared" si="23"/>
        <v>115.8</v>
      </c>
      <c r="D57" s="184">
        <v>0</v>
      </c>
      <c r="E57" s="184">
        <v>0</v>
      </c>
      <c r="F57" s="184">
        <v>115.8</v>
      </c>
      <c r="G57" s="184">
        <f t="shared" si="24"/>
        <v>115.8</v>
      </c>
      <c r="H57" s="184">
        <v>0</v>
      </c>
      <c r="I57" s="184">
        <v>0</v>
      </c>
      <c r="J57" s="184">
        <v>115.8</v>
      </c>
      <c r="K57" s="164">
        <v>0</v>
      </c>
      <c r="L57" s="704">
        <f t="shared" si="11"/>
        <v>0</v>
      </c>
      <c r="M57" s="164">
        <f t="shared" si="12"/>
        <v>0</v>
      </c>
      <c r="N57" s="164">
        <f t="shared" si="13"/>
        <v>0</v>
      </c>
    </row>
    <row r="58" spans="1:16" s="165" customFormat="1" ht="46.8" x14ac:dyDescent="0.3">
      <c r="A58" s="162"/>
      <c r="B58" s="333" t="s">
        <v>721</v>
      </c>
      <c r="C58" s="184">
        <f t="shared" si="23"/>
        <v>326.7</v>
      </c>
      <c r="D58" s="184">
        <v>0</v>
      </c>
      <c r="E58" s="184">
        <v>0</v>
      </c>
      <c r="F58" s="184">
        <v>326.7</v>
      </c>
      <c r="G58" s="184">
        <f t="shared" si="24"/>
        <v>326.7</v>
      </c>
      <c r="H58" s="184">
        <v>0</v>
      </c>
      <c r="I58" s="184">
        <v>0</v>
      </c>
      <c r="J58" s="184">
        <v>326.7</v>
      </c>
      <c r="K58" s="164">
        <v>0</v>
      </c>
      <c r="L58" s="704">
        <f t="shared" si="11"/>
        <v>0</v>
      </c>
      <c r="M58" s="164">
        <f t="shared" si="12"/>
        <v>0</v>
      </c>
      <c r="N58" s="164">
        <f t="shared" si="13"/>
        <v>0</v>
      </c>
    </row>
    <row r="59" spans="1:16" s="165" customFormat="1" ht="15.6" x14ac:dyDescent="0.3">
      <c r="A59" s="162"/>
      <c r="B59" s="333" t="s">
        <v>722</v>
      </c>
      <c r="C59" s="184">
        <f t="shared" si="23"/>
        <v>89.2</v>
      </c>
      <c r="D59" s="184">
        <v>0</v>
      </c>
      <c r="E59" s="184">
        <v>0</v>
      </c>
      <c r="F59" s="184">
        <v>89.2</v>
      </c>
      <c r="G59" s="184">
        <f t="shared" si="24"/>
        <v>89.2</v>
      </c>
      <c r="H59" s="184">
        <v>0</v>
      </c>
      <c r="I59" s="184">
        <v>0</v>
      </c>
      <c r="J59" s="184">
        <v>89.2</v>
      </c>
      <c r="K59" s="164">
        <v>0</v>
      </c>
      <c r="L59" s="704">
        <f t="shared" si="11"/>
        <v>0</v>
      </c>
      <c r="M59" s="164">
        <f t="shared" si="12"/>
        <v>0</v>
      </c>
      <c r="N59" s="164">
        <f t="shared" si="13"/>
        <v>0</v>
      </c>
    </row>
    <row r="60" spans="1:16" s="165" customFormat="1" ht="31.2" x14ac:dyDescent="0.3">
      <c r="A60" s="162"/>
      <c r="B60" s="333" t="s">
        <v>723</v>
      </c>
      <c r="C60" s="184">
        <f t="shared" si="23"/>
        <v>158.6</v>
      </c>
      <c r="D60" s="184">
        <v>0</v>
      </c>
      <c r="E60" s="184">
        <v>0</v>
      </c>
      <c r="F60" s="184">
        <v>158.6</v>
      </c>
      <c r="G60" s="184">
        <f t="shared" si="24"/>
        <v>158.6</v>
      </c>
      <c r="H60" s="184">
        <v>0</v>
      </c>
      <c r="I60" s="184">
        <v>0</v>
      </c>
      <c r="J60" s="184">
        <v>158.6</v>
      </c>
      <c r="K60" s="164">
        <v>0</v>
      </c>
      <c r="L60" s="704">
        <f t="shared" si="11"/>
        <v>0</v>
      </c>
      <c r="M60" s="164">
        <f t="shared" si="12"/>
        <v>0</v>
      </c>
      <c r="N60" s="164">
        <f t="shared" si="13"/>
        <v>0</v>
      </c>
    </row>
    <row r="61" spans="1:16" s="165" customFormat="1" ht="31.2" x14ac:dyDescent="0.3">
      <c r="A61" s="162"/>
      <c r="B61" s="333" t="s">
        <v>724</v>
      </c>
      <c r="C61" s="184">
        <f t="shared" si="23"/>
        <v>121.4</v>
      </c>
      <c r="D61" s="184">
        <v>0</v>
      </c>
      <c r="E61" s="184">
        <v>0</v>
      </c>
      <c r="F61" s="184">
        <v>121.4</v>
      </c>
      <c r="G61" s="184">
        <f t="shared" si="24"/>
        <v>121.4</v>
      </c>
      <c r="H61" s="184">
        <v>0</v>
      </c>
      <c r="I61" s="184">
        <v>0</v>
      </c>
      <c r="J61" s="184">
        <v>121.4</v>
      </c>
      <c r="K61" s="164">
        <v>0</v>
      </c>
      <c r="L61" s="704">
        <f t="shared" si="11"/>
        <v>0</v>
      </c>
      <c r="M61" s="164">
        <f t="shared" si="12"/>
        <v>0</v>
      </c>
      <c r="N61" s="164">
        <f t="shared" si="13"/>
        <v>0</v>
      </c>
    </row>
    <row r="62" spans="1:16" s="165" customFormat="1" ht="31.2" x14ac:dyDescent="0.3">
      <c r="A62" s="162"/>
      <c r="B62" s="333" t="s">
        <v>725</v>
      </c>
      <c r="C62" s="184">
        <f t="shared" si="23"/>
        <v>600</v>
      </c>
      <c r="D62" s="184">
        <v>0</v>
      </c>
      <c r="E62" s="184">
        <v>0</v>
      </c>
      <c r="F62" s="184">
        <v>600</v>
      </c>
      <c r="G62" s="184">
        <f t="shared" si="24"/>
        <v>600</v>
      </c>
      <c r="H62" s="184">
        <v>0</v>
      </c>
      <c r="I62" s="184">
        <v>0</v>
      </c>
      <c r="J62" s="184">
        <v>600</v>
      </c>
      <c r="K62" s="164">
        <v>0</v>
      </c>
      <c r="L62" s="704">
        <f t="shared" si="11"/>
        <v>0</v>
      </c>
      <c r="M62" s="164">
        <f t="shared" si="12"/>
        <v>0</v>
      </c>
      <c r="N62" s="164">
        <f t="shared" si="13"/>
        <v>0</v>
      </c>
    </row>
    <row r="63" spans="1:16" s="165" customFormat="1" ht="31.2" x14ac:dyDescent="0.3">
      <c r="A63" s="162"/>
      <c r="B63" s="333" t="s">
        <v>726</v>
      </c>
      <c r="C63" s="184">
        <f t="shared" si="23"/>
        <v>600</v>
      </c>
      <c r="D63" s="184">
        <v>0</v>
      </c>
      <c r="E63" s="184">
        <v>0</v>
      </c>
      <c r="F63" s="184">
        <v>600</v>
      </c>
      <c r="G63" s="184">
        <f t="shared" si="24"/>
        <v>600</v>
      </c>
      <c r="H63" s="184">
        <v>0</v>
      </c>
      <c r="I63" s="184">
        <v>0</v>
      </c>
      <c r="J63" s="184">
        <v>600</v>
      </c>
      <c r="K63" s="164">
        <v>0</v>
      </c>
      <c r="L63" s="704">
        <f t="shared" si="11"/>
        <v>0</v>
      </c>
      <c r="M63" s="164">
        <f t="shared" si="12"/>
        <v>0</v>
      </c>
      <c r="N63" s="164">
        <f t="shared" si="13"/>
        <v>0</v>
      </c>
    </row>
    <row r="64" spans="1:16" s="165" customFormat="1" ht="46.8" x14ac:dyDescent="0.3">
      <c r="A64" s="162"/>
      <c r="B64" s="333" t="s">
        <v>763</v>
      </c>
      <c r="C64" s="184">
        <f t="shared" si="23"/>
        <v>598.5</v>
      </c>
      <c r="D64" s="184">
        <v>0</v>
      </c>
      <c r="E64" s="184">
        <v>0</v>
      </c>
      <c r="F64" s="184">
        <v>598.5</v>
      </c>
      <c r="G64" s="184">
        <f t="shared" si="24"/>
        <v>598.5</v>
      </c>
      <c r="H64" s="184">
        <v>0</v>
      </c>
      <c r="I64" s="184">
        <v>0</v>
      </c>
      <c r="J64" s="184">
        <v>598.5</v>
      </c>
      <c r="K64" s="164">
        <v>0</v>
      </c>
      <c r="L64" s="704">
        <f t="shared" si="11"/>
        <v>0</v>
      </c>
      <c r="M64" s="164">
        <f t="shared" si="12"/>
        <v>0</v>
      </c>
      <c r="N64" s="164">
        <f t="shared" si="13"/>
        <v>0</v>
      </c>
    </row>
    <row r="65" spans="1:16" s="165" customFormat="1" ht="31.2" x14ac:dyDescent="0.3">
      <c r="A65" s="162"/>
      <c r="B65" s="333" t="s">
        <v>764</v>
      </c>
      <c r="C65" s="184">
        <f t="shared" si="23"/>
        <v>199.1</v>
      </c>
      <c r="D65" s="184">
        <v>0</v>
      </c>
      <c r="E65" s="184">
        <v>0</v>
      </c>
      <c r="F65" s="184">
        <v>199.1</v>
      </c>
      <c r="G65" s="184">
        <f t="shared" si="24"/>
        <v>199.1</v>
      </c>
      <c r="H65" s="184">
        <v>0</v>
      </c>
      <c r="I65" s="184">
        <v>0</v>
      </c>
      <c r="J65" s="184">
        <v>199.1</v>
      </c>
      <c r="K65" s="164">
        <v>0</v>
      </c>
      <c r="L65" s="704">
        <f t="shared" si="11"/>
        <v>0</v>
      </c>
      <c r="M65" s="164">
        <f t="shared" si="12"/>
        <v>0</v>
      </c>
      <c r="N65" s="164">
        <f t="shared" si="13"/>
        <v>0</v>
      </c>
    </row>
    <row r="66" spans="1:16" s="188" customFormat="1" ht="31.2" x14ac:dyDescent="0.3">
      <c r="A66" s="185"/>
      <c r="B66" s="186" t="s">
        <v>643</v>
      </c>
      <c r="C66" s="187">
        <f>F66</f>
        <v>9766.531930000001</v>
      </c>
      <c r="D66" s="187">
        <v>0</v>
      </c>
      <c r="E66" s="187">
        <v>0</v>
      </c>
      <c r="F66" s="187">
        <f>SUM(F67:F89)</f>
        <v>9766.531930000001</v>
      </c>
      <c r="G66" s="187">
        <f t="shared" ref="G66:J66" si="25">SUM(G67:G89)</f>
        <v>9766.531930000001</v>
      </c>
      <c r="H66" s="187">
        <f t="shared" si="25"/>
        <v>0</v>
      </c>
      <c r="I66" s="187">
        <f t="shared" si="25"/>
        <v>0</v>
      </c>
      <c r="J66" s="187">
        <f t="shared" si="25"/>
        <v>9766.531930000001</v>
      </c>
      <c r="K66" s="187">
        <v>0</v>
      </c>
      <c r="L66" s="705">
        <f t="shared" si="11"/>
        <v>0</v>
      </c>
      <c r="M66" s="187">
        <f t="shared" si="12"/>
        <v>0</v>
      </c>
      <c r="N66" s="187">
        <f t="shared" si="13"/>
        <v>0</v>
      </c>
      <c r="O66" s="189"/>
      <c r="P66" s="189"/>
    </row>
    <row r="67" spans="1:16" s="165" customFormat="1" ht="31.2" x14ac:dyDescent="0.3">
      <c r="A67" s="162"/>
      <c r="B67" s="333" t="s">
        <v>727</v>
      </c>
      <c r="C67" s="184">
        <f>F67</f>
        <v>1590.0740000000001</v>
      </c>
      <c r="D67" s="184">
        <v>0</v>
      </c>
      <c r="E67" s="184">
        <v>0</v>
      </c>
      <c r="F67" s="184">
        <v>1590.0740000000001</v>
      </c>
      <c r="G67" s="184">
        <f>J67</f>
        <v>1590.0740000000001</v>
      </c>
      <c r="H67" s="184">
        <v>0</v>
      </c>
      <c r="I67" s="184">
        <v>0</v>
      </c>
      <c r="J67" s="184">
        <v>1590.0740000000001</v>
      </c>
      <c r="K67" s="164">
        <v>0</v>
      </c>
      <c r="L67" s="704">
        <f t="shared" si="11"/>
        <v>0</v>
      </c>
      <c r="M67" s="164">
        <f t="shared" si="12"/>
        <v>0</v>
      </c>
      <c r="N67" s="164">
        <f t="shared" si="13"/>
        <v>0</v>
      </c>
    </row>
    <row r="68" spans="1:16" s="165" customFormat="1" ht="31.2" x14ac:dyDescent="0.3">
      <c r="A68" s="162"/>
      <c r="B68" s="333" t="s">
        <v>728</v>
      </c>
      <c r="C68" s="184">
        <f t="shared" ref="C68:C88" si="26">F68</f>
        <v>577.70000000000005</v>
      </c>
      <c r="D68" s="184">
        <v>0</v>
      </c>
      <c r="E68" s="184">
        <v>0</v>
      </c>
      <c r="F68" s="184">
        <v>577.70000000000005</v>
      </c>
      <c r="G68" s="184">
        <f t="shared" ref="G68:G69" si="27">J68</f>
        <v>577.70000000000005</v>
      </c>
      <c r="H68" s="184">
        <v>0</v>
      </c>
      <c r="I68" s="184">
        <v>0</v>
      </c>
      <c r="J68" s="184">
        <v>577.70000000000005</v>
      </c>
      <c r="K68" s="164">
        <v>0</v>
      </c>
      <c r="L68" s="704">
        <f t="shared" si="11"/>
        <v>0</v>
      </c>
      <c r="M68" s="164">
        <f t="shared" si="12"/>
        <v>0</v>
      </c>
      <c r="N68" s="164">
        <f t="shared" si="13"/>
        <v>0</v>
      </c>
    </row>
    <row r="69" spans="1:16" s="165" customFormat="1" ht="31.2" x14ac:dyDescent="0.3">
      <c r="A69" s="162"/>
      <c r="B69" s="333" t="s">
        <v>729</v>
      </c>
      <c r="C69" s="184">
        <f t="shared" si="26"/>
        <v>204.4</v>
      </c>
      <c r="D69" s="184">
        <v>0</v>
      </c>
      <c r="E69" s="184">
        <v>0</v>
      </c>
      <c r="F69" s="184">
        <v>204.4</v>
      </c>
      <c r="G69" s="184">
        <f t="shared" si="27"/>
        <v>204.4</v>
      </c>
      <c r="H69" s="184">
        <v>0</v>
      </c>
      <c r="I69" s="184">
        <v>0</v>
      </c>
      <c r="J69" s="184">
        <v>204.4</v>
      </c>
      <c r="K69" s="164">
        <v>0</v>
      </c>
      <c r="L69" s="704">
        <f t="shared" si="11"/>
        <v>0</v>
      </c>
      <c r="M69" s="164">
        <f t="shared" si="12"/>
        <v>0</v>
      </c>
      <c r="N69" s="164">
        <f t="shared" si="13"/>
        <v>0</v>
      </c>
    </row>
    <row r="70" spans="1:16" s="165" customFormat="1" ht="31.2" x14ac:dyDescent="0.3">
      <c r="A70" s="162"/>
      <c r="B70" s="333" t="s">
        <v>730</v>
      </c>
      <c r="C70" s="184">
        <f t="shared" si="26"/>
        <v>142.69999999999999</v>
      </c>
      <c r="D70" s="184">
        <v>0</v>
      </c>
      <c r="E70" s="184">
        <v>0</v>
      </c>
      <c r="F70" s="184">
        <v>142.69999999999999</v>
      </c>
      <c r="G70" s="184">
        <f t="shared" ref="G70:G77" si="28">J70</f>
        <v>142.69999999999999</v>
      </c>
      <c r="H70" s="184">
        <v>0</v>
      </c>
      <c r="I70" s="184">
        <v>0</v>
      </c>
      <c r="J70" s="184">
        <v>142.69999999999999</v>
      </c>
      <c r="K70" s="164">
        <v>0</v>
      </c>
      <c r="L70" s="704">
        <f t="shared" si="11"/>
        <v>0</v>
      </c>
      <c r="M70" s="164">
        <f t="shared" si="12"/>
        <v>0</v>
      </c>
      <c r="N70" s="164">
        <f t="shared" si="13"/>
        <v>0</v>
      </c>
    </row>
    <row r="71" spans="1:16" s="165" customFormat="1" ht="46.8" x14ac:dyDescent="0.3">
      <c r="A71" s="162"/>
      <c r="B71" s="333" t="s">
        <v>731</v>
      </c>
      <c r="C71" s="184">
        <f t="shared" si="26"/>
        <v>424.3</v>
      </c>
      <c r="D71" s="184">
        <v>0</v>
      </c>
      <c r="E71" s="184">
        <v>0</v>
      </c>
      <c r="F71" s="184">
        <v>424.3</v>
      </c>
      <c r="G71" s="184">
        <f t="shared" si="28"/>
        <v>424.3</v>
      </c>
      <c r="H71" s="184">
        <v>0</v>
      </c>
      <c r="I71" s="184">
        <v>0</v>
      </c>
      <c r="J71" s="184">
        <v>424.3</v>
      </c>
      <c r="K71" s="164">
        <v>0</v>
      </c>
      <c r="L71" s="704">
        <f t="shared" si="11"/>
        <v>0</v>
      </c>
      <c r="M71" s="164">
        <f t="shared" si="12"/>
        <v>0</v>
      </c>
      <c r="N71" s="164">
        <f t="shared" si="13"/>
        <v>0</v>
      </c>
    </row>
    <row r="72" spans="1:16" s="165" customFormat="1" ht="15.6" x14ac:dyDescent="0.3">
      <c r="A72" s="162"/>
      <c r="B72" s="333" t="s">
        <v>732</v>
      </c>
      <c r="C72" s="184">
        <f t="shared" si="26"/>
        <v>374.6</v>
      </c>
      <c r="D72" s="184">
        <v>0</v>
      </c>
      <c r="E72" s="184">
        <v>0</v>
      </c>
      <c r="F72" s="184">
        <v>374.6</v>
      </c>
      <c r="G72" s="184">
        <f t="shared" si="28"/>
        <v>374.6</v>
      </c>
      <c r="H72" s="184">
        <v>0</v>
      </c>
      <c r="I72" s="184">
        <v>0</v>
      </c>
      <c r="J72" s="184">
        <v>374.6</v>
      </c>
      <c r="K72" s="164">
        <v>0</v>
      </c>
      <c r="L72" s="704">
        <f t="shared" si="11"/>
        <v>0</v>
      </c>
      <c r="M72" s="164">
        <f t="shared" si="12"/>
        <v>0</v>
      </c>
      <c r="N72" s="164">
        <f t="shared" si="13"/>
        <v>0</v>
      </c>
    </row>
    <row r="73" spans="1:16" s="165" customFormat="1" ht="31.2" x14ac:dyDescent="0.3">
      <c r="A73" s="162"/>
      <c r="B73" s="333" t="s">
        <v>733</v>
      </c>
      <c r="C73" s="184">
        <f t="shared" si="26"/>
        <v>600</v>
      </c>
      <c r="D73" s="184">
        <v>0</v>
      </c>
      <c r="E73" s="184">
        <v>0</v>
      </c>
      <c r="F73" s="184">
        <v>600</v>
      </c>
      <c r="G73" s="184">
        <f t="shared" si="28"/>
        <v>600</v>
      </c>
      <c r="H73" s="184">
        <v>0</v>
      </c>
      <c r="I73" s="184">
        <v>0</v>
      </c>
      <c r="J73" s="184">
        <v>600</v>
      </c>
      <c r="K73" s="164">
        <v>0</v>
      </c>
      <c r="L73" s="704">
        <f t="shared" si="11"/>
        <v>0</v>
      </c>
      <c r="M73" s="164">
        <f t="shared" si="12"/>
        <v>0</v>
      </c>
      <c r="N73" s="164">
        <f t="shared" si="13"/>
        <v>0</v>
      </c>
    </row>
    <row r="74" spans="1:16" s="165" customFormat="1" ht="31.2" x14ac:dyDescent="0.3">
      <c r="A74" s="162"/>
      <c r="B74" s="333" t="s">
        <v>734</v>
      </c>
      <c r="C74" s="184">
        <f t="shared" si="26"/>
        <v>600</v>
      </c>
      <c r="D74" s="184">
        <v>0</v>
      </c>
      <c r="E74" s="184">
        <v>0</v>
      </c>
      <c r="F74" s="184">
        <v>600</v>
      </c>
      <c r="G74" s="184">
        <f t="shared" si="28"/>
        <v>600</v>
      </c>
      <c r="H74" s="184">
        <v>0</v>
      </c>
      <c r="I74" s="184">
        <v>0</v>
      </c>
      <c r="J74" s="184">
        <v>600</v>
      </c>
      <c r="K74" s="164">
        <v>0</v>
      </c>
      <c r="L74" s="704">
        <f t="shared" si="11"/>
        <v>0</v>
      </c>
      <c r="M74" s="164">
        <f t="shared" si="12"/>
        <v>0</v>
      </c>
      <c r="N74" s="164">
        <f t="shared" si="13"/>
        <v>0</v>
      </c>
    </row>
    <row r="75" spans="1:16" s="165" customFormat="1" ht="15.6" x14ac:dyDescent="0.3">
      <c r="A75" s="162"/>
      <c r="B75" s="333" t="s">
        <v>735</v>
      </c>
      <c r="C75" s="184">
        <f t="shared" si="26"/>
        <v>597</v>
      </c>
      <c r="D75" s="184">
        <v>0</v>
      </c>
      <c r="E75" s="184">
        <v>0</v>
      </c>
      <c r="F75" s="184">
        <v>597</v>
      </c>
      <c r="G75" s="184">
        <f t="shared" si="28"/>
        <v>597</v>
      </c>
      <c r="H75" s="184">
        <v>0</v>
      </c>
      <c r="I75" s="184">
        <v>0</v>
      </c>
      <c r="J75" s="184">
        <v>597</v>
      </c>
      <c r="K75" s="164">
        <v>0</v>
      </c>
      <c r="L75" s="704">
        <f t="shared" si="11"/>
        <v>0</v>
      </c>
      <c r="M75" s="164">
        <f t="shared" si="12"/>
        <v>0</v>
      </c>
      <c r="N75" s="164">
        <f t="shared" si="13"/>
        <v>0</v>
      </c>
    </row>
    <row r="76" spans="1:16" s="165" customFormat="1" ht="31.2" x14ac:dyDescent="0.3">
      <c r="A76" s="162"/>
      <c r="B76" s="333" t="s">
        <v>736</v>
      </c>
      <c r="C76" s="184">
        <f t="shared" si="26"/>
        <v>167.03942000000001</v>
      </c>
      <c r="D76" s="184">
        <v>0</v>
      </c>
      <c r="E76" s="184">
        <v>0</v>
      </c>
      <c r="F76" s="184">
        <v>167.03942000000001</v>
      </c>
      <c r="G76" s="184">
        <f t="shared" si="28"/>
        <v>167.03942000000001</v>
      </c>
      <c r="H76" s="184">
        <v>0</v>
      </c>
      <c r="I76" s="184">
        <v>0</v>
      </c>
      <c r="J76" s="184">
        <v>167.03942000000001</v>
      </c>
      <c r="K76" s="164">
        <v>0</v>
      </c>
      <c r="L76" s="704">
        <f t="shared" si="11"/>
        <v>0</v>
      </c>
      <c r="M76" s="164">
        <f t="shared" si="12"/>
        <v>0</v>
      </c>
      <c r="N76" s="164">
        <f t="shared" si="13"/>
        <v>0</v>
      </c>
    </row>
    <row r="77" spans="1:16" s="165" customFormat="1" ht="31.2" x14ac:dyDescent="0.3">
      <c r="A77" s="162"/>
      <c r="B77" s="333" t="s">
        <v>737</v>
      </c>
      <c r="C77" s="184">
        <f t="shared" si="26"/>
        <v>597</v>
      </c>
      <c r="D77" s="184">
        <v>0</v>
      </c>
      <c r="E77" s="184">
        <v>0</v>
      </c>
      <c r="F77" s="184">
        <v>597</v>
      </c>
      <c r="G77" s="184">
        <f t="shared" si="28"/>
        <v>597</v>
      </c>
      <c r="H77" s="184">
        <v>0</v>
      </c>
      <c r="I77" s="184">
        <v>0</v>
      </c>
      <c r="J77" s="184">
        <v>597</v>
      </c>
      <c r="K77" s="164">
        <v>0</v>
      </c>
      <c r="L77" s="704">
        <f t="shared" si="11"/>
        <v>0</v>
      </c>
      <c r="M77" s="164">
        <f t="shared" si="12"/>
        <v>0</v>
      </c>
      <c r="N77" s="164">
        <f t="shared" si="13"/>
        <v>0</v>
      </c>
    </row>
    <row r="78" spans="1:16" s="165" customFormat="1" ht="31.2" x14ac:dyDescent="0.3">
      <c r="A78" s="162"/>
      <c r="B78" s="333" t="s">
        <v>738</v>
      </c>
      <c r="C78" s="184">
        <f t="shared" si="26"/>
        <v>1441.5</v>
      </c>
      <c r="D78" s="184">
        <v>0</v>
      </c>
      <c r="E78" s="184">
        <v>0</v>
      </c>
      <c r="F78" s="184">
        <v>1441.5</v>
      </c>
      <c r="G78" s="184">
        <f t="shared" ref="G78:G80" si="29">J78</f>
        <v>1441.5</v>
      </c>
      <c r="H78" s="184">
        <v>0</v>
      </c>
      <c r="I78" s="184">
        <v>0</v>
      </c>
      <c r="J78" s="184">
        <v>1441.5</v>
      </c>
      <c r="K78" s="164">
        <v>0</v>
      </c>
      <c r="L78" s="704">
        <f t="shared" si="11"/>
        <v>0</v>
      </c>
      <c r="M78" s="164">
        <f t="shared" si="12"/>
        <v>0</v>
      </c>
      <c r="N78" s="164">
        <f t="shared" si="13"/>
        <v>0</v>
      </c>
    </row>
    <row r="79" spans="1:16" s="165" customFormat="1" ht="19.5" customHeight="1" x14ac:dyDescent="0.3">
      <c r="A79" s="162"/>
      <c r="B79" s="333" t="s">
        <v>739</v>
      </c>
      <c r="C79" s="184">
        <f t="shared" si="26"/>
        <v>102.7</v>
      </c>
      <c r="D79" s="184">
        <v>0</v>
      </c>
      <c r="E79" s="184">
        <v>0</v>
      </c>
      <c r="F79" s="184">
        <v>102.7</v>
      </c>
      <c r="G79" s="184">
        <f t="shared" si="29"/>
        <v>102.7</v>
      </c>
      <c r="H79" s="184">
        <v>0</v>
      </c>
      <c r="I79" s="184">
        <v>0</v>
      </c>
      <c r="J79" s="184">
        <v>102.7</v>
      </c>
      <c r="K79" s="164">
        <v>0</v>
      </c>
      <c r="L79" s="704">
        <f t="shared" si="11"/>
        <v>0</v>
      </c>
      <c r="M79" s="164">
        <f t="shared" si="12"/>
        <v>0</v>
      </c>
      <c r="N79" s="164">
        <f t="shared" si="13"/>
        <v>0</v>
      </c>
    </row>
    <row r="80" spans="1:16" s="165" customFormat="1" ht="31.2" x14ac:dyDescent="0.3">
      <c r="A80" s="162"/>
      <c r="B80" s="333" t="s">
        <v>759</v>
      </c>
      <c r="C80" s="184">
        <f t="shared" si="26"/>
        <v>200</v>
      </c>
      <c r="D80" s="184">
        <v>0</v>
      </c>
      <c r="E80" s="184">
        <v>0</v>
      </c>
      <c r="F80" s="184">
        <v>200</v>
      </c>
      <c r="G80" s="184">
        <f t="shared" si="29"/>
        <v>200</v>
      </c>
      <c r="H80" s="184">
        <v>0</v>
      </c>
      <c r="I80" s="184">
        <v>0</v>
      </c>
      <c r="J80" s="184">
        <v>200</v>
      </c>
      <c r="K80" s="164">
        <v>0</v>
      </c>
      <c r="L80" s="704">
        <f t="shared" si="11"/>
        <v>0</v>
      </c>
      <c r="M80" s="164">
        <f t="shared" si="12"/>
        <v>0</v>
      </c>
      <c r="N80" s="164">
        <f t="shared" si="13"/>
        <v>0</v>
      </c>
    </row>
    <row r="81" spans="1:16" s="165" customFormat="1" ht="15.6" x14ac:dyDescent="0.3">
      <c r="A81" s="162"/>
      <c r="B81" s="333" t="s">
        <v>831</v>
      </c>
      <c r="C81" s="184">
        <f t="shared" si="26"/>
        <v>226.47212999999996</v>
      </c>
      <c r="D81" s="184">
        <v>0</v>
      </c>
      <c r="E81" s="184">
        <v>0</v>
      </c>
      <c r="F81" s="184">
        <f>226.47213+58.20507-58.20507</f>
        <v>226.47212999999996</v>
      </c>
      <c r="G81" s="164">
        <f>J81</f>
        <v>226.47212999999999</v>
      </c>
      <c r="H81" s="164">
        <v>0</v>
      </c>
      <c r="I81" s="164">
        <v>0</v>
      </c>
      <c r="J81" s="164">
        <v>226.47212999999999</v>
      </c>
      <c r="K81" s="164">
        <v>0</v>
      </c>
      <c r="L81" s="704">
        <f t="shared" si="11"/>
        <v>0</v>
      </c>
      <c r="M81" s="164">
        <f t="shared" si="12"/>
        <v>0</v>
      </c>
      <c r="N81" s="164">
        <f t="shared" si="13"/>
        <v>0</v>
      </c>
    </row>
    <row r="82" spans="1:16" s="165" customFormat="1" ht="31.2" x14ac:dyDescent="0.3">
      <c r="A82" s="332"/>
      <c r="B82" s="711" t="s">
        <v>843</v>
      </c>
      <c r="C82" s="338">
        <f t="shared" si="26"/>
        <v>599.99224000000004</v>
      </c>
      <c r="D82" s="184">
        <v>0</v>
      </c>
      <c r="E82" s="184">
        <v>0</v>
      </c>
      <c r="F82" s="338">
        <v>599.99224000000004</v>
      </c>
      <c r="G82" s="338">
        <f t="shared" ref="G82:G84" si="30">J82</f>
        <v>599.99224000000004</v>
      </c>
      <c r="H82" s="184">
        <v>0</v>
      </c>
      <c r="I82" s="184">
        <v>0</v>
      </c>
      <c r="J82" s="338">
        <v>599.99224000000004</v>
      </c>
      <c r="K82" s="336"/>
      <c r="L82" s="704">
        <f t="shared" si="11"/>
        <v>0</v>
      </c>
      <c r="M82" s="336">
        <f t="shared" si="12"/>
        <v>0</v>
      </c>
      <c r="N82" s="336">
        <f t="shared" si="13"/>
        <v>0</v>
      </c>
    </row>
    <row r="83" spans="1:16" s="165" customFormat="1" ht="28.5" customHeight="1" x14ac:dyDescent="0.3">
      <c r="A83" s="332"/>
      <c r="B83" s="333" t="s">
        <v>844</v>
      </c>
      <c r="C83" s="338">
        <f t="shared" si="26"/>
        <v>315.32279999999997</v>
      </c>
      <c r="D83" s="184">
        <v>0</v>
      </c>
      <c r="E83" s="184">
        <v>0</v>
      </c>
      <c r="F83" s="338">
        <v>315.32279999999997</v>
      </c>
      <c r="G83" s="338">
        <f t="shared" si="30"/>
        <v>315.32279999999997</v>
      </c>
      <c r="H83" s="184">
        <v>0</v>
      </c>
      <c r="I83" s="184">
        <v>0</v>
      </c>
      <c r="J83" s="338">
        <v>315.32279999999997</v>
      </c>
      <c r="K83" s="336"/>
      <c r="L83" s="704">
        <f t="shared" si="11"/>
        <v>0</v>
      </c>
      <c r="M83" s="336">
        <f t="shared" si="12"/>
        <v>0</v>
      </c>
      <c r="N83" s="336">
        <f t="shared" si="13"/>
        <v>0</v>
      </c>
    </row>
    <row r="84" spans="1:16" s="165" customFormat="1" ht="31.2" x14ac:dyDescent="0.3">
      <c r="A84" s="332"/>
      <c r="B84" s="711" t="s">
        <v>845</v>
      </c>
      <c r="C84" s="338">
        <f t="shared" si="26"/>
        <v>359.04671999999999</v>
      </c>
      <c r="D84" s="184">
        <v>0</v>
      </c>
      <c r="E84" s="184">
        <v>0</v>
      </c>
      <c r="F84" s="338">
        <v>359.04671999999999</v>
      </c>
      <c r="G84" s="338">
        <f t="shared" si="30"/>
        <v>359.04671999999999</v>
      </c>
      <c r="H84" s="184">
        <v>0</v>
      </c>
      <c r="I84" s="184">
        <v>0</v>
      </c>
      <c r="J84" s="338">
        <v>359.04671999999999</v>
      </c>
      <c r="K84" s="336"/>
      <c r="L84" s="704">
        <f t="shared" si="11"/>
        <v>0</v>
      </c>
      <c r="M84" s="336">
        <f t="shared" si="12"/>
        <v>0</v>
      </c>
      <c r="N84" s="336">
        <f t="shared" si="13"/>
        <v>0</v>
      </c>
    </row>
    <row r="85" spans="1:16" s="165" customFormat="1" ht="31.2" x14ac:dyDescent="0.3">
      <c r="A85" s="332"/>
      <c r="B85" s="333" t="s">
        <v>841</v>
      </c>
      <c r="C85" s="338">
        <f t="shared" si="26"/>
        <v>102.03700000000001</v>
      </c>
      <c r="D85" s="184">
        <v>0</v>
      </c>
      <c r="E85" s="184">
        <v>0</v>
      </c>
      <c r="F85" s="338">
        <v>102.03700000000001</v>
      </c>
      <c r="G85" s="338">
        <f t="shared" ref="G85" si="31">J85</f>
        <v>102.03700000000001</v>
      </c>
      <c r="H85" s="184">
        <v>0</v>
      </c>
      <c r="I85" s="184">
        <v>0</v>
      </c>
      <c r="J85" s="338">
        <v>102.03700000000001</v>
      </c>
      <c r="K85" s="336"/>
      <c r="L85" s="704">
        <f t="shared" si="11"/>
        <v>0</v>
      </c>
      <c r="M85" s="336">
        <f t="shared" si="12"/>
        <v>0</v>
      </c>
      <c r="N85" s="336">
        <f t="shared" si="13"/>
        <v>0</v>
      </c>
    </row>
    <row r="86" spans="1:16" s="165" customFormat="1" ht="31.2" x14ac:dyDescent="0.3">
      <c r="A86" s="162"/>
      <c r="B86" s="333" t="s">
        <v>760</v>
      </c>
      <c r="C86" s="184">
        <f t="shared" si="26"/>
        <v>70.147620000000003</v>
      </c>
      <c r="D86" s="184">
        <v>0</v>
      </c>
      <c r="E86" s="184">
        <v>0</v>
      </c>
      <c r="F86" s="184">
        <v>70.147620000000003</v>
      </c>
      <c r="G86" s="184">
        <f t="shared" ref="G86:G88" si="32">J86</f>
        <v>70.147620000000003</v>
      </c>
      <c r="H86" s="184">
        <v>0</v>
      </c>
      <c r="I86" s="184">
        <v>0</v>
      </c>
      <c r="J86" s="184">
        <v>70.147620000000003</v>
      </c>
      <c r="K86" s="164">
        <v>0</v>
      </c>
      <c r="L86" s="704">
        <f t="shared" si="11"/>
        <v>0</v>
      </c>
      <c r="M86" s="164">
        <f t="shared" si="12"/>
        <v>0</v>
      </c>
      <c r="N86" s="164">
        <f t="shared" si="13"/>
        <v>0</v>
      </c>
    </row>
    <row r="87" spans="1:16" s="165" customFormat="1" ht="31.5" customHeight="1" x14ac:dyDescent="0.3">
      <c r="A87" s="162"/>
      <c r="B87" s="333" t="s">
        <v>761</v>
      </c>
      <c r="C87" s="184">
        <f t="shared" si="26"/>
        <v>300.3</v>
      </c>
      <c r="D87" s="184">
        <v>0</v>
      </c>
      <c r="E87" s="184">
        <v>0</v>
      </c>
      <c r="F87" s="184">
        <v>300.3</v>
      </c>
      <c r="G87" s="184">
        <f t="shared" si="32"/>
        <v>300.3</v>
      </c>
      <c r="H87" s="184">
        <v>0</v>
      </c>
      <c r="I87" s="184">
        <v>0</v>
      </c>
      <c r="J87" s="184">
        <v>300.3</v>
      </c>
      <c r="K87" s="164">
        <v>0</v>
      </c>
      <c r="L87" s="704">
        <f t="shared" si="11"/>
        <v>0</v>
      </c>
      <c r="M87" s="164">
        <f t="shared" si="12"/>
        <v>0</v>
      </c>
      <c r="N87" s="164">
        <f t="shared" si="13"/>
        <v>0</v>
      </c>
    </row>
    <row r="88" spans="1:16" s="165" customFormat="1" ht="31.2" x14ac:dyDescent="0.3">
      <c r="A88" s="162"/>
      <c r="B88" s="333" t="s">
        <v>762</v>
      </c>
      <c r="C88" s="184">
        <f t="shared" si="26"/>
        <v>89.2</v>
      </c>
      <c r="D88" s="184">
        <v>0</v>
      </c>
      <c r="E88" s="184">
        <v>0</v>
      </c>
      <c r="F88" s="184">
        <v>89.2</v>
      </c>
      <c r="G88" s="184">
        <f t="shared" si="32"/>
        <v>89.2</v>
      </c>
      <c r="H88" s="184">
        <v>0</v>
      </c>
      <c r="I88" s="184">
        <v>0</v>
      </c>
      <c r="J88" s="184">
        <v>89.2</v>
      </c>
      <c r="K88" s="164">
        <v>0</v>
      </c>
      <c r="L88" s="704">
        <f t="shared" si="11"/>
        <v>0</v>
      </c>
      <c r="M88" s="164">
        <f t="shared" si="12"/>
        <v>0</v>
      </c>
      <c r="N88" s="164">
        <f t="shared" si="13"/>
        <v>0</v>
      </c>
    </row>
    <row r="89" spans="1:16" s="165" customFormat="1" ht="31.2" x14ac:dyDescent="0.3">
      <c r="A89" s="162"/>
      <c r="B89" s="333" t="s">
        <v>1101</v>
      </c>
      <c r="C89" s="184">
        <f>F89</f>
        <v>85</v>
      </c>
      <c r="D89" s="184">
        <v>0</v>
      </c>
      <c r="E89" s="184">
        <v>0</v>
      </c>
      <c r="F89" s="184">
        <v>85</v>
      </c>
      <c r="G89" s="184">
        <f>J89</f>
        <v>85</v>
      </c>
      <c r="H89" s="184">
        <v>0</v>
      </c>
      <c r="I89" s="184">
        <v>0</v>
      </c>
      <c r="J89" s="184">
        <v>85</v>
      </c>
      <c r="K89" s="164">
        <v>0</v>
      </c>
      <c r="L89" s="704">
        <f t="shared" si="11"/>
        <v>0</v>
      </c>
      <c r="M89" s="164">
        <f t="shared" si="12"/>
        <v>0</v>
      </c>
      <c r="N89" s="164">
        <f t="shared" si="13"/>
        <v>0</v>
      </c>
    </row>
    <row r="90" spans="1:16" s="161" customFormat="1" ht="15.6" x14ac:dyDescent="0.3">
      <c r="A90" s="218" t="s">
        <v>647</v>
      </c>
      <c r="B90" s="221" t="s">
        <v>645</v>
      </c>
      <c r="C90" s="220">
        <f>E90+F90</f>
        <v>31983.9</v>
      </c>
      <c r="D90" s="220">
        <v>0</v>
      </c>
      <c r="E90" s="220">
        <v>0</v>
      </c>
      <c r="F90" s="220">
        <f>F91</f>
        <v>31983.9</v>
      </c>
      <c r="G90" s="220">
        <f>I90+J90</f>
        <v>31285.521420000001</v>
      </c>
      <c r="H90" s="220">
        <v>0</v>
      </c>
      <c r="I90" s="220">
        <v>0</v>
      </c>
      <c r="J90" s="220">
        <f>J91</f>
        <v>31285.521420000001</v>
      </c>
      <c r="K90" s="220">
        <f>M90+N90</f>
        <v>698.37858000000051</v>
      </c>
      <c r="L90" s="703">
        <f t="shared" si="11"/>
        <v>0</v>
      </c>
      <c r="M90" s="222">
        <f t="shared" si="12"/>
        <v>0</v>
      </c>
      <c r="N90" s="220">
        <f t="shared" si="13"/>
        <v>698.37858000000051</v>
      </c>
      <c r="O90" s="182"/>
      <c r="P90" s="182"/>
    </row>
    <row r="91" spans="1:16" s="165" customFormat="1" ht="48.75" customHeight="1" x14ac:dyDescent="0.3">
      <c r="A91" s="162"/>
      <c r="B91" s="166" t="s">
        <v>646</v>
      </c>
      <c r="C91" s="164">
        <f>E91+F91</f>
        <v>31983.9</v>
      </c>
      <c r="D91" s="164">
        <v>0</v>
      </c>
      <c r="E91" s="164">
        <v>0</v>
      </c>
      <c r="F91" s="164">
        <v>31983.9</v>
      </c>
      <c r="G91" s="164">
        <f>I91+J91</f>
        <v>31285.521420000001</v>
      </c>
      <c r="H91" s="164">
        <v>0</v>
      </c>
      <c r="I91" s="164">
        <v>0</v>
      </c>
      <c r="J91" s="164">
        <v>31285.521420000001</v>
      </c>
      <c r="K91" s="164">
        <f>M91+N91</f>
        <v>698.37858000000051</v>
      </c>
      <c r="L91" s="704">
        <f t="shared" si="11"/>
        <v>0</v>
      </c>
      <c r="M91" s="167">
        <f t="shared" si="12"/>
        <v>0</v>
      </c>
      <c r="N91" s="164">
        <f t="shared" si="13"/>
        <v>698.37858000000051</v>
      </c>
      <c r="O91" s="181"/>
      <c r="P91" s="181"/>
    </row>
    <row r="92" spans="1:16" s="161" customFormat="1" ht="31.2" x14ac:dyDescent="0.3">
      <c r="A92" s="218" t="s">
        <v>700</v>
      </c>
      <c r="B92" s="221" t="s">
        <v>401</v>
      </c>
      <c r="C92" s="220">
        <f>E92+F92+D92</f>
        <v>75255.677810000008</v>
      </c>
      <c r="D92" s="220">
        <f>D93</f>
        <v>71884.223440000002</v>
      </c>
      <c r="E92" s="220">
        <f>E93</f>
        <v>2995.17598</v>
      </c>
      <c r="F92" s="220">
        <f>F93</f>
        <v>376.27839</v>
      </c>
      <c r="G92" s="220">
        <f>I92+J92+H92</f>
        <v>75255.677810000008</v>
      </c>
      <c r="H92" s="220">
        <f>H93</f>
        <v>71884.223440000002</v>
      </c>
      <c r="I92" s="220">
        <f>I93</f>
        <v>2995.17598</v>
      </c>
      <c r="J92" s="220">
        <f>J93</f>
        <v>376.27839</v>
      </c>
      <c r="K92" s="220">
        <f>M92+N92</f>
        <v>0</v>
      </c>
      <c r="L92" s="703">
        <f t="shared" si="11"/>
        <v>0</v>
      </c>
      <c r="M92" s="222">
        <f t="shared" si="12"/>
        <v>0</v>
      </c>
      <c r="N92" s="220">
        <f t="shared" si="13"/>
        <v>0</v>
      </c>
      <c r="O92" s="182"/>
      <c r="P92" s="182"/>
    </row>
    <row r="93" spans="1:16" s="165" customFormat="1" ht="31.2" x14ac:dyDescent="0.3">
      <c r="A93" s="162"/>
      <c r="B93" s="166" t="s">
        <v>648</v>
      </c>
      <c r="C93" s="164">
        <f>E93+F93+D93</f>
        <v>75255.677810000008</v>
      </c>
      <c r="D93" s="164">
        <v>71884.223440000002</v>
      </c>
      <c r="E93" s="164">
        <v>2995.17598</v>
      </c>
      <c r="F93" s="164">
        <f>232.65596+143.62243</f>
        <v>376.27839</v>
      </c>
      <c r="G93" s="164">
        <f>I93+J93+H93</f>
        <v>75255.677810000008</v>
      </c>
      <c r="H93" s="164">
        <v>71884.223440000002</v>
      </c>
      <c r="I93" s="164">
        <v>2995.17598</v>
      </c>
      <c r="J93" s="164">
        <f>232.65596+143.62243</f>
        <v>376.27839</v>
      </c>
      <c r="K93" s="164">
        <f>M93+N93</f>
        <v>0</v>
      </c>
      <c r="L93" s="704">
        <f t="shared" si="11"/>
        <v>0</v>
      </c>
      <c r="M93" s="167">
        <f t="shared" si="12"/>
        <v>0</v>
      </c>
      <c r="N93" s="164">
        <f t="shared" si="13"/>
        <v>0</v>
      </c>
      <c r="O93" s="181"/>
      <c r="P93" s="181"/>
    </row>
    <row r="94" spans="1:16" s="160" customFormat="1" ht="46.8" x14ac:dyDescent="0.3">
      <c r="A94" s="214" t="s">
        <v>629</v>
      </c>
      <c r="B94" s="215" t="s">
        <v>649</v>
      </c>
      <c r="C94" s="216">
        <f>C95+C97</f>
        <v>999.87225000000012</v>
      </c>
      <c r="D94" s="216">
        <v>0</v>
      </c>
      <c r="E94" s="216">
        <v>0</v>
      </c>
      <c r="F94" s="216">
        <f>F95+F97</f>
        <v>999.87225000000012</v>
      </c>
      <c r="G94" s="216">
        <f>J94</f>
        <v>974.17225000000008</v>
      </c>
      <c r="H94" s="216">
        <v>0</v>
      </c>
      <c r="I94" s="216">
        <v>0</v>
      </c>
      <c r="J94" s="216">
        <f>J95+J97</f>
        <v>974.17225000000008</v>
      </c>
      <c r="K94" s="216">
        <f>K95+K97</f>
        <v>25.700000000000003</v>
      </c>
      <c r="L94" s="702">
        <f t="shared" ref="L94:L98" si="33">D94-H94</f>
        <v>0</v>
      </c>
      <c r="M94" s="217">
        <f t="shared" ref="M94:M98" si="34">E94-I94</f>
        <v>0</v>
      </c>
      <c r="N94" s="216">
        <f t="shared" ref="N94:N98" si="35">F94-J94</f>
        <v>25.700000000000045</v>
      </c>
      <c r="O94" s="183"/>
      <c r="P94" s="183"/>
    </row>
    <row r="95" spans="1:16" s="165" customFormat="1" ht="31.2" x14ac:dyDescent="0.3">
      <c r="A95" s="218" t="s">
        <v>650</v>
      </c>
      <c r="B95" s="219" t="s">
        <v>396</v>
      </c>
      <c r="C95" s="223">
        <f>C96</f>
        <v>967.17225000000008</v>
      </c>
      <c r="D95" s="223">
        <v>0</v>
      </c>
      <c r="E95" s="223">
        <v>0</v>
      </c>
      <c r="F95" s="223">
        <f>F96</f>
        <v>967.17225000000008</v>
      </c>
      <c r="G95" s="223">
        <f t="shared" ref="G95:J95" si="36">G96</f>
        <v>967.17225000000008</v>
      </c>
      <c r="H95" s="223">
        <f t="shared" si="36"/>
        <v>0</v>
      </c>
      <c r="I95" s="223">
        <f t="shared" si="36"/>
        <v>0</v>
      </c>
      <c r="J95" s="223">
        <f t="shared" si="36"/>
        <v>967.17225000000008</v>
      </c>
      <c r="K95" s="223">
        <v>0</v>
      </c>
      <c r="L95" s="706">
        <f t="shared" si="33"/>
        <v>0</v>
      </c>
      <c r="M95" s="224">
        <f t="shared" si="34"/>
        <v>0</v>
      </c>
      <c r="N95" s="223">
        <f t="shared" si="35"/>
        <v>0</v>
      </c>
      <c r="O95" s="181"/>
      <c r="P95" s="181"/>
    </row>
    <row r="96" spans="1:16" ht="51.75" customHeight="1" x14ac:dyDescent="0.3">
      <c r="A96" s="168"/>
      <c r="B96" s="163" t="s">
        <v>651</v>
      </c>
      <c r="C96" s="169">
        <f>F96</f>
        <v>967.17225000000008</v>
      </c>
      <c r="D96" s="169">
        <v>0</v>
      </c>
      <c r="E96" s="169">
        <v>0</v>
      </c>
      <c r="F96" s="169">
        <f>898.2+68.97225</f>
        <v>967.17225000000008</v>
      </c>
      <c r="G96" s="169">
        <f>J96</f>
        <v>967.17225000000008</v>
      </c>
      <c r="H96" s="169">
        <v>0</v>
      </c>
      <c r="I96" s="169">
        <v>0</v>
      </c>
      <c r="J96" s="169">
        <f>898.2+68.97225</f>
        <v>967.17225000000008</v>
      </c>
      <c r="K96" s="169">
        <v>0</v>
      </c>
      <c r="L96" s="707">
        <f t="shared" si="33"/>
        <v>0</v>
      </c>
      <c r="M96" s="170">
        <f t="shared" si="34"/>
        <v>0</v>
      </c>
      <c r="N96" s="171">
        <f t="shared" si="35"/>
        <v>0</v>
      </c>
    </row>
    <row r="97" spans="1:14" ht="31.2" x14ac:dyDescent="0.3">
      <c r="A97" s="304" t="s">
        <v>818</v>
      </c>
      <c r="B97" s="305" t="s">
        <v>796</v>
      </c>
      <c r="C97" s="306">
        <f>C98</f>
        <v>32.700000000000003</v>
      </c>
      <c r="D97" s="306">
        <f>D98</f>
        <v>0</v>
      </c>
      <c r="E97" s="306">
        <f>E98</f>
        <v>0</v>
      </c>
      <c r="F97" s="306">
        <f>F98</f>
        <v>32.700000000000003</v>
      </c>
      <c r="G97" s="306">
        <f>G98</f>
        <v>7</v>
      </c>
      <c r="H97" s="306">
        <f t="shared" ref="H97:K97" si="37">H98</f>
        <v>0</v>
      </c>
      <c r="I97" s="306">
        <f t="shared" si="37"/>
        <v>0</v>
      </c>
      <c r="J97" s="306">
        <f t="shared" si="37"/>
        <v>7</v>
      </c>
      <c r="K97" s="306">
        <f t="shared" si="37"/>
        <v>25.700000000000003</v>
      </c>
      <c r="L97" s="706">
        <f t="shared" si="33"/>
        <v>0</v>
      </c>
      <c r="M97" s="306">
        <f t="shared" si="34"/>
        <v>0</v>
      </c>
      <c r="N97" s="306">
        <f t="shared" si="35"/>
        <v>25.700000000000003</v>
      </c>
    </row>
    <row r="98" spans="1:14" ht="46.8" x14ac:dyDescent="0.3">
      <c r="A98" s="277"/>
      <c r="B98" s="307" t="s">
        <v>819</v>
      </c>
      <c r="C98" s="169">
        <f>F98</f>
        <v>32.700000000000003</v>
      </c>
      <c r="D98" s="169">
        <v>0</v>
      </c>
      <c r="E98" s="169">
        <v>0</v>
      </c>
      <c r="F98" s="169">
        <v>32.700000000000003</v>
      </c>
      <c r="G98" s="169">
        <v>7</v>
      </c>
      <c r="H98" s="169">
        <v>0</v>
      </c>
      <c r="I98" s="169">
        <v>0</v>
      </c>
      <c r="J98" s="169">
        <v>7</v>
      </c>
      <c r="K98" s="169">
        <f>N98</f>
        <v>25.700000000000003</v>
      </c>
      <c r="L98" s="707">
        <f t="shared" si="33"/>
        <v>0</v>
      </c>
      <c r="M98" s="169">
        <f t="shared" si="34"/>
        <v>0</v>
      </c>
      <c r="N98" s="169">
        <f t="shared" si="35"/>
        <v>25.700000000000003</v>
      </c>
    </row>
  </sheetData>
  <mergeCells count="30">
    <mergeCell ref="G3:N3"/>
    <mergeCell ref="A6:N6"/>
    <mergeCell ref="A23:N23"/>
    <mergeCell ref="A25:A28"/>
    <mergeCell ref="B25:B28"/>
    <mergeCell ref="C27:C28"/>
    <mergeCell ref="D27:F27"/>
    <mergeCell ref="G27:G28"/>
    <mergeCell ref="H27:J27"/>
    <mergeCell ref="K27:K28"/>
    <mergeCell ref="C25:F26"/>
    <mergeCell ref="G25:J26"/>
    <mergeCell ref="K25:N26"/>
    <mergeCell ref="L27:N27"/>
    <mergeCell ref="K1:N1"/>
    <mergeCell ref="A10:N10"/>
    <mergeCell ref="A12:A15"/>
    <mergeCell ref="B12:B15"/>
    <mergeCell ref="C14:C15"/>
    <mergeCell ref="D14:F14"/>
    <mergeCell ref="G14:G15"/>
    <mergeCell ref="H14:J14"/>
    <mergeCell ref="K14:K15"/>
    <mergeCell ref="C12:F13"/>
    <mergeCell ref="G12:J13"/>
    <mergeCell ref="K12:N13"/>
    <mergeCell ref="L14:N14"/>
    <mergeCell ref="A8:C8"/>
    <mergeCell ref="A9:C9"/>
    <mergeCell ref="J2:N2"/>
  </mergeCells>
  <pageMargins left="0.31496062992125984" right="0.31496062992125984" top="1.1417322834645669" bottom="0.35433070866141736" header="0.31496062992125984" footer="0.31496062992125984"/>
  <pageSetup paperSize="9"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B497"/>
  <sheetViews>
    <sheetView view="pageBreakPreview" topLeftCell="J1" zoomScale="86" zoomScaleNormal="90" zoomScaleSheetLayoutView="86" workbookViewId="0">
      <selection activeCell="Q2" sqref="Q2:AA2"/>
    </sheetView>
  </sheetViews>
  <sheetFormatPr defaultRowHeight="13.2" x14ac:dyDescent="0.25"/>
  <cols>
    <col min="1" max="1" width="8" style="453" customWidth="1"/>
    <col min="2" max="2" width="26.33203125" style="453" customWidth="1"/>
    <col min="3" max="3" width="13.109375" style="453" customWidth="1"/>
    <col min="4" max="4" width="10.88671875" style="453" customWidth="1"/>
    <col min="5" max="5" width="14.5546875" style="582" customWidth="1"/>
    <col min="6" max="6" width="13.88671875" style="582" customWidth="1"/>
    <col min="7" max="7" width="10.109375" style="582" customWidth="1"/>
    <col min="8" max="8" width="14.33203125" style="582" customWidth="1"/>
    <col min="9" max="9" width="13.44140625" style="582" customWidth="1"/>
    <col min="10" max="10" width="8.109375" style="582" customWidth="1"/>
    <col min="11" max="11" width="12.6640625" style="582" customWidth="1"/>
    <col min="12" max="12" width="12.5546875" style="583" customWidth="1"/>
    <col min="13" max="13" width="11.6640625" style="453" customWidth="1"/>
    <col min="14" max="14" width="14.33203125" style="453" customWidth="1"/>
    <col min="15" max="15" width="12.5546875" style="453" customWidth="1"/>
    <col min="16" max="16" width="9.33203125" style="453" customWidth="1"/>
    <col min="17" max="17" width="12.6640625" style="453" customWidth="1"/>
    <col min="18" max="18" width="13.109375" style="453" customWidth="1"/>
    <col min="19" max="19" width="12.88671875" style="453" customWidth="1"/>
    <col min="20" max="20" width="14.44140625" style="453" customWidth="1"/>
    <col min="21" max="21" width="11" style="453" customWidth="1"/>
    <col min="22" max="22" width="14" style="453" customWidth="1"/>
    <col min="23" max="23" width="13.109375" style="453" customWidth="1"/>
    <col min="24" max="24" width="8.44140625" style="453" customWidth="1"/>
    <col min="25" max="26" width="11.44140625" style="453" customWidth="1"/>
    <col min="27" max="27" width="14.5546875" style="453" customWidth="1"/>
    <col min="28" max="28" width="11.109375" style="514" bestFit="1" customWidth="1"/>
    <col min="29" max="254" width="9.109375" style="514"/>
    <col min="255" max="255" width="8" style="514" customWidth="1"/>
    <col min="256" max="256" width="26.33203125" style="514" customWidth="1"/>
    <col min="257" max="257" width="13.109375" style="514" customWidth="1"/>
    <col min="258" max="258" width="10.88671875" style="514" customWidth="1"/>
    <col min="259" max="259" width="14.5546875" style="514" customWidth="1"/>
    <col min="260" max="260" width="12.88671875" style="514" customWidth="1"/>
    <col min="261" max="261" width="10.109375" style="514" customWidth="1"/>
    <col min="262" max="263" width="10.33203125" style="514" customWidth="1"/>
    <col min="264" max="265" width="7.109375" style="514" customWidth="1"/>
    <col min="266" max="266" width="12.5546875" style="514" customWidth="1"/>
    <col min="267" max="267" width="9.5546875" style="514" customWidth="1"/>
    <col min="268" max="268" width="13.109375" style="514" customWidth="1"/>
    <col min="269" max="269" width="12.5546875" style="514" customWidth="1"/>
    <col min="270" max="270" width="9.33203125" style="514" customWidth="1"/>
    <col min="271" max="271" width="12.6640625" style="514" customWidth="1"/>
    <col min="272" max="272" width="11" style="514" customWidth="1"/>
    <col min="273" max="273" width="12.88671875" style="514" customWidth="1"/>
    <col min="274" max="274" width="11.109375" style="514" customWidth="1"/>
    <col min="275" max="275" width="11" style="514" customWidth="1"/>
    <col min="276" max="277" width="13.109375" style="514" customWidth="1"/>
    <col min="278" max="279" width="8.44140625" style="514" customWidth="1"/>
    <col min="280" max="280" width="11.44140625" style="514" customWidth="1"/>
    <col min="281" max="281" width="14.5546875" style="514" customWidth="1"/>
    <col min="282" max="510" width="9.109375" style="514"/>
    <col min="511" max="511" width="8" style="514" customWidth="1"/>
    <col min="512" max="512" width="26.33203125" style="514" customWidth="1"/>
    <col min="513" max="513" width="13.109375" style="514" customWidth="1"/>
    <col min="514" max="514" width="10.88671875" style="514" customWidth="1"/>
    <col min="515" max="515" width="14.5546875" style="514" customWidth="1"/>
    <col min="516" max="516" width="12.88671875" style="514" customWidth="1"/>
    <col min="517" max="517" width="10.109375" style="514" customWidth="1"/>
    <col min="518" max="519" width="10.33203125" style="514" customWidth="1"/>
    <col min="520" max="521" width="7.109375" style="514" customWidth="1"/>
    <col min="522" max="522" width="12.5546875" style="514" customWidth="1"/>
    <col min="523" max="523" width="9.5546875" style="514" customWidth="1"/>
    <col min="524" max="524" width="13.109375" style="514" customWidth="1"/>
    <col min="525" max="525" width="12.5546875" style="514" customWidth="1"/>
    <col min="526" max="526" width="9.33203125" style="514" customWidth="1"/>
    <col min="527" max="527" width="12.6640625" style="514" customWidth="1"/>
    <col min="528" max="528" width="11" style="514" customWidth="1"/>
    <col min="529" max="529" width="12.88671875" style="514" customWidth="1"/>
    <col min="530" max="530" width="11.109375" style="514" customWidth="1"/>
    <col min="531" max="531" width="11" style="514" customWidth="1"/>
    <col min="532" max="533" width="13.109375" style="514" customWidth="1"/>
    <col min="534" max="535" width="8.44140625" style="514" customWidth="1"/>
    <col min="536" max="536" width="11.44140625" style="514" customWidth="1"/>
    <col min="537" max="537" width="14.5546875" style="514" customWidth="1"/>
    <col min="538" max="766" width="9.109375" style="514"/>
    <col min="767" max="767" width="8" style="514" customWidth="1"/>
    <col min="768" max="768" width="26.33203125" style="514" customWidth="1"/>
    <col min="769" max="769" width="13.109375" style="514" customWidth="1"/>
    <col min="770" max="770" width="10.88671875" style="514" customWidth="1"/>
    <col min="771" max="771" width="14.5546875" style="514" customWidth="1"/>
    <col min="772" max="772" width="12.88671875" style="514" customWidth="1"/>
    <col min="773" max="773" width="10.109375" style="514" customWidth="1"/>
    <col min="774" max="775" width="10.33203125" style="514" customWidth="1"/>
    <col min="776" max="777" width="7.109375" style="514" customWidth="1"/>
    <col min="778" max="778" width="12.5546875" style="514" customWidth="1"/>
    <col min="779" max="779" width="9.5546875" style="514" customWidth="1"/>
    <col min="780" max="780" width="13.109375" style="514" customWidth="1"/>
    <col min="781" max="781" width="12.5546875" style="514" customWidth="1"/>
    <col min="782" max="782" width="9.33203125" style="514" customWidth="1"/>
    <col min="783" max="783" width="12.6640625" style="514" customWidth="1"/>
    <col min="784" max="784" width="11" style="514" customWidth="1"/>
    <col min="785" max="785" width="12.88671875" style="514" customWidth="1"/>
    <col min="786" max="786" width="11.109375" style="514" customWidth="1"/>
    <col min="787" max="787" width="11" style="514" customWidth="1"/>
    <col min="788" max="789" width="13.109375" style="514" customWidth="1"/>
    <col min="790" max="791" width="8.44140625" style="514" customWidth="1"/>
    <col min="792" max="792" width="11.44140625" style="514" customWidth="1"/>
    <col min="793" max="793" width="14.5546875" style="514" customWidth="1"/>
    <col min="794" max="1022" width="9.109375" style="514"/>
    <col min="1023" max="1023" width="8" style="514" customWidth="1"/>
    <col min="1024" max="1024" width="26.33203125" style="514" customWidth="1"/>
    <col min="1025" max="1025" width="13.109375" style="514" customWidth="1"/>
    <col min="1026" max="1026" width="10.88671875" style="514" customWidth="1"/>
    <col min="1027" max="1027" width="14.5546875" style="514" customWidth="1"/>
    <col min="1028" max="1028" width="12.88671875" style="514" customWidth="1"/>
    <col min="1029" max="1029" width="10.109375" style="514" customWidth="1"/>
    <col min="1030" max="1031" width="10.33203125" style="514" customWidth="1"/>
    <col min="1032" max="1033" width="7.109375" style="514" customWidth="1"/>
    <col min="1034" max="1034" width="12.5546875" style="514" customWidth="1"/>
    <col min="1035" max="1035" width="9.5546875" style="514" customWidth="1"/>
    <col min="1036" max="1036" width="13.109375" style="514" customWidth="1"/>
    <col min="1037" max="1037" width="12.5546875" style="514" customWidth="1"/>
    <col min="1038" max="1038" width="9.33203125" style="514" customWidth="1"/>
    <col min="1039" max="1039" width="12.6640625" style="514" customWidth="1"/>
    <col min="1040" max="1040" width="11" style="514" customWidth="1"/>
    <col min="1041" max="1041" width="12.88671875" style="514" customWidth="1"/>
    <col min="1042" max="1042" width="11.109375" style="514" customWidth="1"/>
    <col min="1043" max="1043" width="11" style="514" customWidth="1"/>
    <col min="1044" max="1045" width="13.109375" style="514" customWidth="1"/>
    <col min="1046" max="1047" width="8.44140625" style="514" customWidth="1"/>
    <col min="1048" max="1048" width="11.44140625" style="514" customWidth="1"/>
    <col min="1049" max="1049" width="14.5546875" style="514" customWidth="1"/>
    <col min="1050" max="1278" width="9.109375" style="514"/>
    <col min="1279" max="1279" width="8" style="514" customWidth="1"/>
    <col min="1280" max="1280" width="26.33203125" style="514" customWidth="1"/>
    <col min="1281" max="1281" width="13.109375" style="514" customWidth="1"/>
    <col min="1282" max="1282" width="10.88671875" style="514" customWidth="1"/>
    <col min="1283" max="1283" width="14.5546875" style="514" customWidth="1"/>
    <col min="1284" max="1284" width="12.88671875" style="514" customWidth="1"/>
    <col min="1285" max="1285" width="10.109375" style="514" customWidth="1"/>
    <col min="1286" max="1287" width="10.33203125" style="514" customWidth="1"/>
    <col min="1288" max="1289" width="7.109375" style="514" customWidth="1"/>
    <col min="1290" max="1290" width="12.5546875" style="514" customWidth="1"/>
    <col min="1291" max="1291" width="9.5546875" style="514" customWidth="1"/>
    <col min="1292" max="1292" width="13.109375" style="514" customWidth="1"/>
    <col min="1293" max="1293" width="12.5546875" style="514" customWidth="1"/>
    <col min="1294" max="1294" width="9.33203125" style="514" customWidth="1"/>
    <col min="1295" max="1295" width="12.6640625" style="514" customWidth="1"/>
    <col min="1296" max="1296" width="11" style="514" customWidth="1"/>
    <col min="1297" max="1297" width="12.88671875" style="514" customWidth="1"/>
    <col min="1298" max="1298" width="11.109375" style="514" customWidth="1"/>
    <col min="1299" max="1299" width="11" style="514" customWidth="1"/>
    <col min="1300" max="1301" width="13.109375" style="514" customWidth="1"/>
    <col min="1302" max="1303" width="8.44140625" style="514" customWidth="1"/>
    <col min="1304" max="1304" width="11.44140625" style="514" customWidth="1"/>
    <col min="1305" max="1305" width="14.5546875" style="514" customWidth="1"/>
    <col min="1306" max="1534" width="9.109375" style="514"/>
    <col min="1535" max="1535" width="8" style="514" customWidth="1"/>
    <col min="1536" max="1536" width="26.33203125" style="514" customWidth="1"/>
    <col min="1537" max="1537" width="13.109375" style="514" customWidth="1"/>
    <col min="1538" max="1538" width="10.88671875" style="514" customWidth="1"/>
    <col min="1539" max="1539" width="14.5546875" style="514" customWidth="1"/>
    <col min="1540" max="1540" width="12.88671875" style="514" customWidth="1"/>
    <col min="1541" max="1541" width="10.109375" style="514" customWidth="1"/>
    <col min="1542" max="1543" width="10.33203125" style="514" customWidth="1"/>
    <col min="1544" max="1545" width="7.109375" style="514" customWidth="1"/>
    <col min="1546" max="1546" width="12.5546875" style="514" customWidth="1"/>
    <col min="1547" max="1547" width="9.5546875" style="514" customWidth="1"/>
    <col min="1548" max="1548" width="13.109375" style="514" customWidth="1"/>
    <col min="1549" max="1549" width="12.5546875" style="514" customWidth="1"/>
    <col min="1550" max="1550" width="9.33203125" style="514" customWidth="1"/>
    <col min="1551" max="1551" width="12.6640625" style="514" customWidth="1"/>
    <col min="1552" max="1552" width="11" style="514" customWidth="1"/>
    <col min="1553" max="1553" width="12.88671875" style="514" customWidth="1"/>
    <col min="1554" max="1554" width="11.109375" style="514" customWidth="1"/>
    <col min="1555" max="1555" width="11" style="514" customWidth="1"/>
    <col min="1556" max="1557" width="13.109375" style="514" customWidth="1"/>
    <col min="1558" max="1559" width="8.44140625" style="514" customWidth="1"/>
    <col min="1560" max="1560" width="11.44140625" style="514" customWidth="1"/>
    <col min="1561" max="1561" width="14.5546875" style="514" customWidth="1"/>
    <col min="1562" max="1790" width="9.109375" style="514"/>
    <col min="1791" max="1791" width="8" style="514" customWidth="1"/>
    <col min="1792" max="1792" width="26.33203125" style="514" customWidth="1"/>
    <col min="1793" max="1793" width="13.109375" style="514" customWidth="1"/>
    <col min="1794" max="1794" width="10.88671875" style="514" customWidth="1"/>
    <col min="1795" max="1795" width="14.5546875" style="514" customWidth="1"/>
    <col min="1796" max="1796" width="12.88671875" style="514" customWidth="1"/>
    <col min="1797" max="1797" width="10.109375" style="514" customWidth="1"/>
    <col min="1798" max="1799" width="10.33203125" style="514" customWidth="1"/>
    <col min="1800" max="1801" width="7.109375" style="514" customWidth="1"/>
    <col min="1802" max="1802" width="12.5546875" style="514" customWidth="1"/>
    <col min="1803" max="1803" width="9.5546875" style="514" customWidth="1"/>
    <col min="1804" max="1804" width="13.109375" style="514" customWidth="1"/>
    <col min="1805" max="1805" width="12.5546875" style="514" customWidth="1"/>
    <col min="1806" max="1806" width="9.33203125" style="514" customWidth="1"/>
    <col min="1807" max="1807" width="12.6640625" style="514" customWidth="1"/>
    <col min="1808" max="1808" width="11" style="514" customWidth="1"/>
    <col min="1809" max="1809" width="12.88671875" style="514" customWidth="1"/>
    <col min="1810" max="1810" width="11.109375" style="514" customWidth="1"/>
    <col min="1811" max="1811" width="11" style="514" customWidth="1"/>
    <col min="1812" max="1813" width="13.109375" style="514" customWidth="1"/>
    <col min="1814" max="1815" width="8.44140625" style="514" customWidth="1"/>
    <col min="1816" max="1816" width="11.44140625" style="514" customWidth="1"/>
    <col min="1817" max="1817" width="14.5546875" style="514" customWidth="1"/>
    <col min="1818" max="2046" width="9.109375" style="514"/>
    <col min="2047" max="2047" width="8" style="514" customWidth="1"/>
    <col min="2048" max="2048" width="26.33203125" style="514" customWidth="1"/>
    <col min="2049" max="2049" width="13.109375" style="514" customWidth="1"/>
    <col min="2050" max="2050" width="10.88671875" style="514" customWidth="1"/>
    <col min="2051" max="2051" width="14.5546875" style="514" customWidth="1"/>
    <col min="2052" max="2052" width="12.88671875" style="514" customWidth="1"/>
    <col min="2053" max="2053" width="10.109375" style="514" customWidth="1"/>
    <col min="2054" max="2055" width="10.33203125" style="514" customWidth="1"/>
    <col min="2056" max="2057" width="7.109375" style="514" customWidth="1"/>
    <col min="2058" max="2058" width="12.5546875" style="514" customWidth="1"/>
    <col min="2059" max="2059" width="9.5546875" style="514" customWidth="1"/>
    <col min="2060" max="2060" width="13.109375" style="514" customWidth="1"/>
    <col min="2061" max="2061" width="12.5546875" style="514" customWidth="1"/>
    <col min="2062" max="2062" width="9.33203125" style="514" customWidth="1"/>
    <col min="2063" max="2063" width="12.6640625" style="514" customWidth="1"/>
    <col min="2064" max="2064" width="11" style="514" customWidth="1"/>
    <col min="2065" max="2065" width="12.88671875" style="514" customWidth="1"/>
    <col min="2066" max="2066" width="11.109375" style="514" customWidth="1"/>
    <col min="2067" max="2067" width="11" style="514" customWidth="1"/>
    <col min="2068" max="2069" width="13.109375" style="514" customWidth="1"/>
    <col min="2070" max="2071" width="8.44140625" style="514" customWidth="1"/>
    <col min="2072" max="2072" width="11.44140625" style="514" customWidth="1"/>
    <col min="2073" max="2073" width="14.5546875" style="514" customWidth="1"/>
    <col min="2074" max="2302" width="9.109375" style="514"/>
    <col min="2303" max="2303" width="8" style="514" customWidth="1"/>
    <col min="2304" max="2304" width="26.33203125" style="514" customWidth="1"/>
    <col min="2305" max="2305" width="13.109375" style="514" customWidth="1"/>
    <col min="2306" max="2306" width="10.88671875" style="514" customWidth="1"/>
    <col min="2307" max="2307" width="14.5546875" style="514" customWidth="1"/>
    <col min="2308" max="2308" width="12.88671875" style="514" customWidth="1"/>
    <col min="2309" max="2309" width="10.109375" style="514" customWidth="1"/>
    <col min="2310" max="2311" width="10.33203125" style="514" customWidth="1"/>
    <col min="2312" max="2313" width="7.109375" style="514" customWidth="1"/>
    <col min="2314" max="2314" width="12.5546875" style="514" customWidth="1"/>
    <col min="2315" max="2315" width="9.5546875" style="514" customWidth="1"/>
    <col min="2316" max="2316" width="13.109375" style="514" customWidth="1"/>
    <col min="2317" max="2317" width="12.5546875" style="514" customWidth="1"/>
    <col min="2318" max="2318" width="9.33203125" style="514" customWidth="1"/>
    <col min="2319" max="2319" width="12.6640625" style="514" customWidth="1"/>
    <col min="2320" max="2320" width="11" style="514" customWidth="1"/>
    <col min="2321" max="2321" width="12.88671875" style="514" customWidth="1"/>
    <col min="2322" max="2322" width="11.109375" style="514" customWidth="1"/>
    <col min="2323" max="2323" width="11" style="514" customWidth="1"/>
    <col min="2324" max="2325" width="13.109375" style="514" customWidth="1"/>
    <col min="2326" max="2327" width="8.44140625" style="514" customWidth="1"/>
    <col min="2328" max="2328" width="11.44140625" style="514" customWidth="1"/>
    <col min="2329" max="2329" width="14.5546875" style="514" customWidth="1"/>
    <col min="2330" max="2558" width="9.109375" style="514"/>
    <col min="2559" max="2559" width="8" style="514" customWidth="1"/>
    <col min="2560" max="2560" width="26.33203125" style="514" customWidth="1"/>
    <col min="2561" max="2561" width="13.109375" style="514" customWidth="1"/>
    <col min="2562" max="2562" width="10.88671875" style="514" customWidth="1"/>
    <col min="2563" max="2563" width="14.5546875" style="514" customWidth="1"/>
    <col min="2564" max="2564" width="12.88671875" style="514" customWidth="1"/>
    <col min="2565" max="2565" width="10.109375" style="514" customWidth="1"/>
    <col min="2566" max="2567" width="10.33203125" style="514" customWidth="1"/>
    <col min="2568" max="2569" width="7.109375" style="514" customWidth="1"/>
    <col min="2570" max="2570" width="12.5546875" style="514" customWidth="1"/>
    <col min="2571" max="2571" width="9.5546875" style="514" customWidth="1"/>
    <col min="2572" max="2572" width="13.109375" style="514" customWidth="1"/>
    <col min="2573" max="2573" width="12.5546875" style="514" customWidth="1"/>
    <col min="2574" max="2574" width="9.33203125" style="514" customWidth="1"/>
    <col min="2575" max="2575" width="12.6640625" style="514" customWidth="1"/>
    <col min="2576" max="2576" width="11" style="514" customWidth="1"/>
    <col min="2577" max="2577" width="12.88671875" style="514" customWidth="1"/>
    <col min="2578" max="2578" width="11.109375" style="514" customWidth="1"/>
    <col min="2579" max="2579" width="11" style="514" customWidth="1"/>
    <col min="2580" max="2581" width="13.109375" style="514" customWidth="1"/>
    <col min="2582" max="2583" width="8.44140625" style="514" customWidth="1"/>
    <col min="2584" max="2584" width="11.44140625" style="514" customWidth="1"/>
    <col min="2585" max="2585" width="14.5546875" style="514" customWidth="1"/>
    <col min="2586" max="2814" width="9.109375" style="514"/>
    <col min="2815" max="2815" width="8" style="514" customWidth="1"/>
    <col min="2816" max="2816" width="26.33203125" style="514" customWidth="1"/>
    <col min="2817" max="2817" width="13.109375" style="514" customWidth="1"/>
    <col min="2818" max="2818" width="10.88671875" style="514" customWidth="1"/>
    <col min="2819" max="2819" width="14.5546875" style="514" customWidth="1"/>
    <col min="2820" max="2820" width="12.88671875" style="514" customWidth="1"/>
    <col min="2821" max="2821" width="10.109375" style="514" customWidth="1"/>
    <col min="2822" max="2823" width="10.33203125" style="514" customWidth="1"/>
    <col min="2824" max="2825" width="7.109375" style="514" customWidth="1"/>
    <col min="2826" max="2826" width="12.5546875" style="514" customWidth="1"/>
    <col min="2827" max="2827" width="9.5546875" style="514" customWidth="1"/>
    <col min="2828" max="2828" width="13.109375" style="514" customWidth="1"/>
    <col min="2829" max="2829" width="12.5546875" style="514" customWidth="1"/>
    <col min="2830" max="2830" width="9.33203125" style="514" customWidth="1"/>
    <col min="2831" max="2831" width="12.6640625" style="514" customWidth="1"/>
    <col min="2832" max="2832" width="11" style="514" customWidth="1"/>
    <col min="2833" max="2833" width="12.88671875" style="514" customWidth="1"/>
    <col min="2834" max="2834" width="11.109375" style="514" customWidth="1"/>
    <col min="2835" max="2835" width="11" style="514" customWidth="1"/>
    <col min="2836" max="2837" width="13.109375" style="514" customWidth="1"/>
    <col min="2838" max="2839" width="8.44140625" style="514" customWidth="1"/>
    <col min="2840" max="2840" width="11.44140625" style="514" customWidth="1"/>
    <col min="2841" max="2841" width="14.5546875" style="514" customWidth="1"/>
    <col min="2842" max="3070" width="9.109375" style="514"/>
    <col min="3071" max="3071" width="8" style="514" customWidth="1"/>
    <col min="3072" max="3072" width="26.33203125" style="514" customWidth="1"/>
    <col min="3073" max="3073" width="13.109375" style="514" customWidth="1"/>
    <col min="3074" max="3074" width="10.88671875" style="514" customWidth="1"/>
    <col min="3075" max="3075" width="14.5546875" style="514" customWidth="1"/>
    <col min="3076" max="3076" width="12.88671875" style="514" customWidth="1"/>
    <col min="3077" max="3077" width="10.109375" style="514" customWidth="1"/>
    <col min="3078" max="3079" width="10.33203125" style="514" customWidth="1"/>
    <col min="3080" max="3081" width="7.109375" style="514" customWidth="1"/>
    <col min="3082" max="3082" width="12.5546875" style="514" customWidth="1"/>
    <col min="3083" max="3083" width="9.5546875" style="514" customWidth="1"/>
    <col min="3084" max="3084" width="13.109375" style="514" customWidth="1"/>
    <col min="3085" max="3085" width="12.5546875" style="514" customWidth="1"/>
    <col min="3086" max="3086" width="9.33203125" style="514" customWidth="1"/>
    <col min="3087" max="3087" width="12.6640625" style="514" customWidth="1"/>
    <col min="3088" max="3088" width="11" style="514" customWidth="1"/>
    <col min="3089" max="3089" width="12.88671875" style="514" customWidth="1"/>
    <col min="3090" max="3090" width="11.109375" style="514" customWidth="1"/>
    <col min="3091" max="3091" width="11" style="514" customWidth="1"/>
    <col min="3092" max="3093" width="13.109375" style="514" customWidth="1"/>
    <col min="3094" max="3095" width="8.44140625" style="514" customWidth="1"/>
    <col min="3096" max="3096" width="11.44140625" style="514" customWidth="1"/>
    <col min="3097" max="3097" width="14.5546875" style="514" customWidth="1"/>
    <col min="3098" max="3326" width="9.109375" style="514"/>
    <col min="3327" max="3327" width="8" style="514" customWidth="1"/>
    <col min="3328" max="3328" width="26.33203125" style="514" customWidth="1"/>
    <col min="3329" max="3329" width="13.109375" style="514" customWidth="1"/>
    <col min="3330" max="3330" width="10.88671875" style="514" customWidth="1"/>
    <col min="3331" max="3331" width="14.5546875" style="514" customWidth="1"/>
    <col min="3332" max="3332" width="12.88671875" style="514" customWidth="1"/>
    <col min="3333" max="3333" width="10.109375" style="514" customWidth="1"/>
    <col min="3334" max="3335" width="10.33203125" style="514" customWidth="1"/>
    <col min="3336" max="3337" width="7.109375" style="514" customWidth="1"/>
    <col min="3338" max="3338" width="12.5546875" style="514" customWidth="1"/>
    <col min="3339" max="3339" width="9.5546875" style="514" customWidth="1"/>
    <col min="3340" max="3340" width="13.109375" style="514" customWidth="1"/>
    <col min="3341" max="3341" width="12.5546875" style="514" customWidth="1"/>
    <col min="3342" max="3342" width="9.33203125" style="514" customWidth="1"/>
    <col min="3343" max="3343" width="12.6640625" style="514" customWidth="1"/>
    <col min="3344" max="3344" width="11" style="514" customWidth="1"/>
    <col min="3345" max="3345" width="12.88671875" style="514" customWidth="1"/>
    <col min="3346" max="3346" width="11.109375" style="514" customWidth="1"/>
    <col min="3347" max="3347" width="11" style="514" customWidth="1"/>
    <col min="3348" max="3349" width="13.109375" style="514" customWidth="1"/>
    <col min="3350" max="3351" width="8.44140625" style="514" customWidth="1"/>
    <col min="3352" max="3352" width="11.44140625" style="514" customWidth="1"/>
    <col min="3353" max="3353" width="14.5546875" style="514" customWidth="1"/>
    <col min="3354" max="3582" width="9.109375" style="514"/>
    <col min="3583" max="3583" width="8" style="514" customWidth="1"/>
    <col min="3584" max="3584" width="26.33203125" style="514" customWidth="1"/>
    <col min="3585" max="3585" width="13.109375" style="514" customWidth="1"/>
    <col min="3586" max="3586" width="10.88671875" style="514" customWidth="1"/>
    <col min="3587" max="3587" width="14.5546875" style="514" customWidth="1"/>
    <col min="3588" max="3588" width="12.88671875" style="514" customWidth="1"/>
    <col min="3589" max="3589" width="10.109375" style="514" customWidth="1"/>
    <col min="3590" max="3591" width="10.33203125" style="514" customWidth="1"/>
    <col min="3592" max="3593" width="7.109375" style="514" customWidth="1"/>
    <col min="3594" max="3594" width="12.5546875" style="514" customWidth="1"/>
    <col min="3595" max="3595" width="9.5546875" style="514" customWidth="1"/>
    <col min="3596" max="3596" width="13.109375" style="514" customWidth="1"/>
    <col min="3597" max="3597" width="12.5546875" style="514" customWidth="1"/>
    <col min="3598" max="3598" width="9.33203125" style="514" customWidth="1"/>
    <col min="3599" max="3599" width="12.6640625" style="514" customWidth="1"/>
    <col min="3600" max="3600" width="11" style="514" customWidth="1"/>
    <col min="3601" max="3601" width="12.88671875" style="514" customWidth="1"/>
    <col min="3602" max="3602" width="11.109375" style="514" customWidth="1"/>
    <col min="3603" max="3603" width="11" style="514" customWidth="1"/>
    <col min="3604" max="3605" width="13.109375" style="514" customWidth="1"/>
    <col min="3606" max="3607" width="8.44140625" style="514" customWidth="1"/>
    <col min="3608" max="3608" width="11.44140625" style="514" customWidth="1"/>
    <col min="3609" max="3609" width="14.5546875" style="514" customWidth="1"/>
    <col min="3610" max="3838" width="9.109375" style="514"/>
    <col min="3839" max="3839" width="8" style="514" customWidth="1"/>
    <col min="3840" max="3840" width="26.33203125" style="514" customWidth="1"/>
    <col min="3841" max="3841" width="13.109375" style="514" customWidth="1"/>
    <col min="3842" max="3842" width="10.88671875" style="514" customWidth="1"/>
    <col min="3843" max="3843" width="14.5546875" style="514" customWidth="1"/>
    <col min="3844" max="3844" width="12.88671875" style="514" customWidth="1"/>
    <col min="3845" max="3845" width="10.109375" style="514" customWidth="1"/>
    <col min="3846" max="3847" width="10.33203125" style="514" customWidth="1"/>
    <col min="3848" max="3849" width="7.109375" style="514" customWidth="1"/>
    <col min="3850" max="3850" width="12.5546875" style="514" customWidth="1"/>
    <col min="3851" max="3851" width="9.5546875" style="514" customWidth="1"/>
    <col min="3852" max="3852" width="13.109375" style="514" customWidth="1"/>
    <col min="3853" max="3853" width="12.5546875" style="514" customWidth="1"/>
    <col min="3854" max="3854" width="9.33203125" style="514" customWidth="1"/>
    <col min="3855" max="3855" width="12.6640625" style="514" customWidth="1"/>
    <col min="3856" max="3856" width="11" style="514" customWidth="1"/>
    <col min="3857" max="3857" width="12.88671875" style="514" customWidth="1"/>
    <col min="3858" max="3858" width="11.109375" style="514" customWidth="1"/>
    <col min="3859" max="3859" width="11" style="514" customWidth="1"/>
    <col min="3860" max="3861" width="13.109375" style="514" customWidth="1"/>
    <col min="3862" max="3863" width="8.44140625" style="514" customWidth="1"/>
    <col min="3864" max="3864" width="11.44140625" style="514" customWidth="1"/>
    <col min="3865" max="3865" width="14.5546875" style="514" customWidth="1"/>
    <col min="3866" max="4094" width="9.109375" style="514"/>
    <col min="4095" max="4095" width="8" style="514" customWidth="1"/>
    <col min="4096" max="4096" width="26.33203125" style="514" customWidth="1"/>
    <col min="4097" max="4097" width="13.109375" style="514" customWidth="1"/>
    <col min="4098" max="4098" width="10.88671875" style="514" customWidth="1"/>
    <col min="4099" max="4099" width="14.5546875" style="514" customWidth="1"/>
    <col min="4100" max="4100" width="12.88671875" style="514" customWidth="1"/>
    <col min="4101" max="4101" width="10.109375" style="514" customWidth="1"/>
    <col min="4102" max="4103" width="10.33203125" style="514" customWidth="1"/>
    <col min="4104" max="4105" width="7.109375" style="514" customWidth="1"/>
    <col min="4106" max="4106" width="12.5546875" style="514" customWidth="1"/>
    <col min="4107" max="4107" width="9.5546875" style="514" customWidth="1"/>
    <col min="4108" max="4108" width="13.109375" style="514" customWidth="1"/>
    <col min="4109" max="4109" width="12.5546875" style="514" customWidth="1"/>
    <col min="4110" max="4110" width="9.33203125" style="514" customWidth="1"/>
    <col min="4111" max="4111" width="12.6640625" style="514" customWidth="1"/>
    <col min="4112" max="4112" width="11" style="514" customWidth="1"/>
    <col min="4113" max="4113" width="12.88671875" style="514" customWidth="1"/>
    <col min="4114" max="4114" width="11.109375" style="514" customWidth="1"/>
    <col min="4115" max="4115" width="11" style="514" customWidth="1"/>
    <col min="4116" max="4117" width="13.109375" style="514" customWidth="1"/>
    <col min="4118" max="4119" width="8.44140625" style="514" customWidth="1"/>
    <col min="4120" max="4120" width="11.44140625" style="514" customWidth="1"/>
    <col min="4121" max="4121" width="14.5546875" style="514" customWidth="1"/>
    <col min="4122" max="4350" width="9.109375" style="514"/>
    <col min="4351" max="4351" width="8" style="514" customWidth="1"/>
    <col min="4352" max="4352" width="26.33203125" style="514" customWidth="1"/>
    <col min="4353" max="4353" width="13.109375" style="514" customWidth="1"/>
    <col min="4354" max="4354" width="10.88671875" style="514" customWidth="1"/>
    <col min="4355" max="4355" width="14.5546875" style="514" customWidth="1"/>
    <col min="4356" max="4356" width="12.88671875" style="514" customWidth="1"/>
    <col min="4357" max="4357" width="10.109375" style="514" customWidth="1"/>
    <col min="4358" max="4359" width="10.33203125" style="514" customWidth="1"/>
    <col min="4360" max="4361" width="7.109375" style="514" customWidth="1"/>
    <col min="4362" max="4362" width="12.5546875" style="514" customWidth="1"/>
    <col min="4363" max="4363" width="9.5546875" style="514" customWidth="1"/>
    <col min="4364" max="4364" width="13.109375" style="514" customWidth="1"/>
    <col min="4365" max="4365" width="12.5546875" style="514" customWidth="1"/>
    <col min="4366" max="4366" width="9.33203125" style="514" customWidth="1"/>
    <col min="4367" max="4367" width="12.6640625" style="514" customWidth="1"/>
    <col min="4368" max="4368" width="11" style="514" customWidth="1"/>
    <col min="4369" max="4369" width="12.88671875" style="514" customWidth="1"/>
    <col min="4370" max="4370" width="11.109375" style="514" customWidth="1"/>
    <col min="4371" max="4371" width="11" style="514" customWidth="1"/>
    <col min="4372" max="4373" width="13.109375" style="514" customWidth="1"/>
    <col min="4374" max="4375" width="8.44140625" style="514" customWidth="1"/>
    <col min="4376" max="4376" width="11.44140625" style="514" customWidth="1"/>
    <col min="4377" max="4377" width="14.5546875" style="514" customWidth="1"/>
    <col min="4378" max="4606" width="9.109375" style="514"/>
    <col min="4607" max="4607" width="8" style="514" customWidth="1"/>
    <col min="4608" max="4608" width="26.33203125" style="514" customWidth="1"/>
    <col min="4609" max="4609" width="13.109375" style="514" customWidth="1"/>
    <col min="4610" max="4610" width="10.88671875" style="514" customWidth="1"/>
    <col min="4611" max="4611" width="14.5546875" style="514" customWidth="1"/>
    <col min="4612" max="4612" width="12.88671875" style="514" customWidth="1"/>
    <col min="4613" max="4613" width="10.109375" style="514" customWidth="1"/>
    <col min="4614" max="4615" width="10.33203125" style="514" customWidth="1"/>
    <col min="4616" max="4617" width="7.109375" style="514" customWidth="1"/>
    <col min="4618" max="4618" width="12.5546875" style="514" customWidth="1"/>
    <col min="4619" max="4619" width="9.5546875" style="514" customWidth="1"/>
    <col min="4620" max="4620" width="13.109375" style="514" customWidth="1"/>
    <col min="4621" max="4621" width="12.5546875" style="514" customWidth="1"/>
    <col min="4622" max="4622" width="9.33203125" style="514" customWidth="1"/>
    <col min="4623" max="4623" width="12.6640625" style="514" customWidth="1"/>
    <col min="4624" max="4624" width="11" style="514" customWidth="1"/>
    <col min="4625" max="4625" width="12.88671875" style="514" customWidth="1"/>
    <col min="4626" max="4626" width="11.109375" style="514" customWidth="1"/>
    <col min="4627" max="4627" width="11" style="514" customWidth="1"/>
    <col min="4628" max="4629" width="13.109375" style="514" customWidth="1"/>
    <col min="4630" max="4631" width="8.44140625" style="514" customWidth="1"/>
    <col min="4632" max="4632" width="11.44140625" style="514" customWidth="1"/>
    <col min="4633" max="4633" width="14.5546875" style="514" customWidth="1"/>
    <col min="4634" max="4862" width="9.109375" style="514"/>
    <col min="4863" max="4863" width="8" style="514" customWidth="1"/>
    <col min="4864" max="4864" width="26.33203125" style="514" customWidth="1"/>
    <col min="4865" max="4865" width="13.109375" style="514" customWidth="1"/>
    <col min="4866" max="4866" width="10.88671875" style="514" customWidth="1"/>
    <col min="4867" max="4867" width="14.5546875" style="514" customWidth="1"/>
    <col min="4868" max="4868" width="12.88671875" style="514" customWidth="1"/>
    <col min="4869" max="4869" width="10.109375" style="514" customWidth="1"/>
    <col min="4870" max="4871" width="10.33203125" style="514" customWidth="1"/>
    <col min="4872" max="4873" width="7.109375" style="514" customWidth="1"/>
    <col min="4874" max="4874" width="12.5546875" style="514" customWidth="1"/>
    <col min="4875" max="4875" width="9.5546875" style="514" customWidth="1"/>
    <col min="4876" max="4876" width="13.109375" style="514" customWidth="1"/>
    <col min="4877" max="4877" width="12.5546875" style="514" customWidth="1"/>
    <col min="4878" max="4878" width="9.33203125" style="514" customWidth="1"/>
    <col min="4879" max="4879" width="12.6640625" style="514" customWidth="1"/>
    <col min="4880" max="4880" width="11" style="514" customWidth="1"/>
    <col min="4881" max="4881" width="12.88671875" style="514" customWidth="1"/>
    <col min="4882" max="4882" width="11.109375" style="514" customWidth="1"/>
    <col min="4883" max="4883" width="11" style="514" customWidth="1"/>
    <col min="4884" max="4885" width="13.109375" style="514" customWidth="1"/>
    <col min="4886" max="4887" width="8.44140625" style="514" customWidth="1"/>
    <col min="4888" max="4888" width="11.44140625" style="514" customWidth="1"/>
    <col min="4889" max="4889" width="14.5546875" style="514" customWidth="1"/>
    <col min="4890" max="5118" width="9.109375" style="514"/>
    <col min="5119" max="5119" width="8" style="514" customWidth="1"/>
    <col min="5120" max="5120" width="26.33203125" style="514" customWidth="1"/>
    <col min="5121" max="5121" width="13.109375" style="514" customWidth="1"/>
    <col min="5122" max="5122" width="10.88671875" style="514" customWidth="1"/>
    <col min="5123" max="5123" width="14.5546875" style="514" customWidth="1"/>
    <col min="5124" max="5124" width="12.88671875" style="514" customWidth="1"/>
    <col min="5125" max="5125" width="10.109375" style="514" customWidth="1"/>
    <col min="5126" max="5127" width="10.33203125" style="514" customWidth="1"/>
    <col min="5128" max="5129" width="7.109375" style="514" customWidth="1"/>
    <col min="5130" max="5130" width="12.5546875" style="514" customWidth="1"/>
    <col min="5131" max="5131" width="9.5546875" style="514" customWidth="1"/>
    <col min="5132" max="5132" width="13.109375" style="514" customWidth="1"/>
    <col min="5133" max="5133" width="12.5546875" style="514" customWidth="1"/>
    <col min="5134" max="5134" width="9.33203125" style="514" customWidth="1"/>
    <col min="5135" max="5135" width="12.6640625" style="514" customWidth="1"/>
    <col min="5136" max="5136" width="11" style="514" customWidth="1"/>
    <col min="5137" max="5137" width="12.88671875" style="514" customWidth="1"/>
    <col min="5138" max="5138" width="11.109375" style="514" customWidth="1"/>
    <col min="5139" max="5139" width="11" style="514" customWidth="1"/>
    <col min="5140" max="5141" width="13.109375" style="514" customWidth="1"/>
    <col min="5142" max="5143" width="8.44140625" style="514" customWidth="1"/>
    <col min="5144" max="5144" width="11.44140625" style="514" customWidth="1"/>
    <col min="5145" max="5145" width="14.5546875" style="514" customWidth="1"/>
    <col min="5146" max="5374" width="9.109375" style="514"/>
    <col min="5375" max="5375" width="8" style="514" customWidth="1"/>
    <col min="5376" max="5376" width="26.33203125" style="514" customWidth="1"/>
    <col min="5377" max="5377" width="13.109375" style="514" customWidth="1"/>
    <col min="5378" max="5378" width="10.88671875" style="514" customWidth="1"/>
    <col min="5379" max="5379" width="14.5546875" style="514" customWidth="1"/>
    <col min="5380" max="5380" width="12.88671875" style="514" customWidth="1"/>
    <col min="5381" max="5381" width="10.109375" style="514" customWidth="1"/>
    <col min="5382" max="5383" width="10.33203125" style="514" customWidth="1"/>
    <col min="5384" max="5385" width="7.109375" style="514" customWidth="1"/>
    <col min="5386" max="5386" width="12.5546875" style="514" customWidth="1"/>
    <col min="5387" max="5387" width="9.5546875" style="514" customWidth="1"/>
    <col min="5388" max="5388" width="13.109375" style="514" customWidth="1"/>
    <col min="5389" max="5389" width="12.5546875" style="514" customWidth="1"/>
    <col min="5390" max="5390" width="9.33203125" style="514" customWidth="1"/>
    <col min="5391" max="5391" width="12.6640625" style="514" customWidth="1"/>
    <col min="5392" max="5392" width="11" style="514" customWidth="1"/>
    <col min="5393" max="5393" width="12.88671875" style="514" customWidth="1"/>
    <col min="5394" max="5394" width="11.109375" style="514" customWidth="1"/>
    <col min="5395" max="5395" width="11" style="514" customWidth="1"/>
    <col min="5396" max="5397" width="13.109375" style="514" customWidth="1"/>
    <col min="5398" max="5399" width="8.44140625" style="514" customWidth="1"/>
    <col min="5400" max="5400" width="11.44140625" style="514" customWidth="1"/>
    <col min="5401" max="5401" width="14.5546875" style="514" customWidth="1"/>
    <col min="5402" max="5630" width="9.109375" style="514"/>
    <col min="5631" max="5631" width="8" style="514" customWidth="1"/>
    <col min="5632" max="5632" width="26.33203125" style="514" customWidth="1"/>
    <col min="5633" max="5633" width="13.109375" style="514" customWidth="1"/>
    <col min="5634" max="5634" width="10.88671875" style="514" customWidth="1"/>
    <col min="5635" max="5635" width="14.5546875" style="514" customWidth="1"/>
    <col min="5636" max="5636" width="12.88671875" style="514" customWidth="1"/>
    <col min="5637" max="5637" width="10.109375" style="514" customWidth="1"/>
    <col min="5638" max="5639" width="10.33203125" style="514" customWidth="1"/>
    <col min="5640" max="5641" width="7.109375" style="514" customWidth="1"/>
    <col min="5642" max="5642" width="12.5546875" style="514" customWidth="1"/>
    <col min="5643" max="5643" width="9.5546875" style="514" customWidth="1"/>
    <col min="5644" max="5644" width="13.109375" style="514" customWidth="1"/>
    <col min="5645" max="5645" width="12.5546875" style="514" customWidth="1"/>
    <col min="5646" max="5646" width="9.33203125" style="514" customWidth="1"/>
    <col min="5647" max="5647" width="12.6640625" style="514" customWidth="1"/>
    <col min="5648" max="5648" width="11" style="514" customWidth="1"/>
    <col min="5649" max="5649" width="12.88671875" style="514" customWidth="1"/>
    <col min="5650" max="5650" width="11.109375" style="514" customWidth="1"/>
    <col min="5651" max="5651" width="11" style="514" customWidth="1"/>
    <col min="5652" max="5653" width="13.109375" style="514" customWidth="1"/>
    <col min="5654" max="5655" width="8.44140625" style="514" customWidth="1"/>
    <col min="5656" max="5656" width="11.44140625" style="514" customWidth="1"/>
    <col min="5657" max="5657" width="14.5546875" style="514" customWidth="1"/>
    <col min="5658" max="5886" width="9.109375" style="514"/>
    <col min="5887" max="5887" width="8" style="514" customWidth="1"/>
    <col min="5888" max="5888" width="26.33203125" style="514" customWidth="1"/>
    <col min="5889" max="5889" width="13.109375" style="514" customWidth="1"/>
    <col min="5890" max="5890" width="10.88671875" style="514" customWidth="1"/>
    <col min="5891" max="5891" width="14.5546875" style="514" customWidth="1"/>
    <col min="5892" max="5892" width="12.88671875" style="514" customWidth="1"/>
    <col min="5893" max="5893" width="10.109375" style="514" customWidth="1"/>
    <col min="5894" max="5895" width="10.33203125" style="514" customWidth="1"/>
    <col min="5896" max="5897" width="7.109375" style="514" customWidth="1"/>
    <col min="5898" max="5898" width="12.5546875" style="514" customWidth="1"/>
    <col min="5899" max="5899" width="9.5546875" style="514" customWidth="1"/>
    <col min="5900" max="5900" width="13.109375" style="514" customWidth="1"/>
    <col min="5901" max="5901" width="12.5546875" style="514" customWidth="1"/>
    <col min="5902" max="5902" width="9.33203125" style="514" customWidth="1"/>
    <col min="5903" max="5903" width="12.6640625" style="514" customWidth="1"/>
    <col min="5904" max="5904" width="11" style="514" customWidth="1"/>
    <col min="5905" max="5905" width="12.88671875" style="514" customWidth="1"/>
    <col min="5906" max="5906" width="11.109375" style="514" customWidth="1"/>
    <col min="5907" max="5907" width="11" style="514" customWidth="1"/>
    <col min="5908" max="5909" width="13.109375" style="514" customWidth="1"/>
    <col min="5910" max="5911" width="8.44140625" style="514" customWidth="1"/>
    <col min="5912" max="5912" width="11.44140625" style="514" customWidth="1"/>
    <col min="5913" max="5913" width="14.5546875" style="514" customWidth="1"/>
    <col min="5914" max="6142" width="9.109375" style="514"/>
    <col min="6143" max="6143" width="8" style="514" customWidth="1"/>
    <col min="6144" max="6144" width="26.33203125" style="514" customWidth="1"/>
    <col min="6145" max="6145" width="13.109375" style="514" customWidth="1"/>
    <col min="6146" max="6146" width="10.88671875" style="514" customWidth="1"/>
    <col min="6147" max="6147" width="14.5546875" style="514" customWidth="1"/>
    <col min="6148" max="6148" width="12.88671875" style="514" customWidth="1"/>
    <col min="6149" max="6149" width="10.109375" style="514" customWidth="1"/>
    <col min="6150" max="6151" width="10.33203125" style="514" customWidth="1"/>
    <col min="6152" max="6153" width="7.109375" style="514" customWidth="1"/>
    <col min="6154" max="6154" width="12.5546875" style="514" customWidth="1"/>
    <col min="6155" max="6155" width="9.5546875" style="514" customWidth="1"/>
    <col min="6156" max="6156" width="13.109375" style="514" customWidth="1"/>
    <col min="6157" max="6157" width="12.5546875" style="514" customWidth="1"/>
    <col min="6158" max="6158" width="9.33203125" style="514" customWidth="1"/>
    <col min="6159" max="6159" width="12.6640625" style="514" customWidth="1"/>
    <col min="6160" max="6160" width="11" style="514" customWidth="1"/>
    <col min="6161" max="6161" width="12.88671875" style="514" customWidth="1"/>
    <col min="6162" max="6162" width="11.109375" style="514" customWidth="1"/>
    <col min="6163" max="6163" width="11" style="514" customWidth="1"/>
    <col min="6164" max="6165" width="13.109375" style="514" customWidth="1"/>
    <col min="6166" max="6167" width="8.44140625" style="514" customWidth="1"/>
    <col min="6168" max="6168" width="11.44140625" style="514" customWidth="1"/>
    <col min="6169" max="6169" width="14.5546875" style="514" customWidth="1"/>
    <col min="6170" max="6398" width="9.109375" style="514"/>
    <col min="6399" max="6399" width="8" style="514" customWidth="1"/>
    <col min="6400" max="6400" width="26.33203125" style="514" customWidth="1"/>
    <col min="6401" max="6401" width="13.109375" style="514" customWidth="1"/>
    <col min="6402" max="6402" width="10.88671875" style="514" customWidth="1"/>
    <col min="6403" max="6403" width="14.5546875" style="514" customWidth="1"/>
    <col min="6404" max="6404" width="12.88671875" style="514" customWidth="1"/>
    <col min="6405" max="6405" width="10.109375" style="514" customWidth="1"/>
    <col min="6406" max="6407" width="10.33203125" style="514" customWidth="1"/>
    <col min="6408" max="6409" width="7.109375" style="514" customWidth="1"/>
    <col min="6410" max="6410" width="12.5546875" style="514" customWidth="1"/>
    <col min="6411" max="6411" width="9.5546875" style="514" customWidth="1"/>
    <col min="6412" max="6412" width="13.109375" style="514" customWidth="1"/>
    <col min="6413" max="6413" width="12.5546875" style="514" customWidth="1"/>
    <col min="6414" max="6414" width="9.33203125" style="514" customWidth="1"/>
    <col min="6415" max="6415" width="12.6640625" style="514" customWidth="1"/>
    <col min="6416" max="6416" width="11" style="514" customWidth="1"/>
    <col min="6417" max="6417" width="12.88671875" style="514" customWidth="1"/>
    <col min="6418" max="6418" width="11.109375" style="514" customWidth="1"/>
    <col min="6419" max="6419" width="11" style="514" customWidth="1"/>
    <col min="6420" max="6421" width="13.109375" style="514" customWidth="1"/>
    <col min="6422" max="6423" width="8.44140625" style="514" customWidth="1"/>
    <col min="6424" max="6424" width="11.44140625" style="514" customWidth="1"/>
    <col min="6425" max="6425" width="14.5546875" style="514" customWidth="1"/>
    <col min="6426" max="6654" width="9.109375" style="514"/>
    <col min="6655" max="6655" width="8" style="514" customWidth="1"/>
    <col min="6656" max="6656" width="26.33203125" style="514" customWidth="1"/>
    <col min="6657" max="6657" width="13.109375" style="514" customWidth="1"/>
    <col min="6658" max="6658" width="10.88671875" style="514" customWidth="1"/>
    <col min="6659" max="6659" width="14.5546875" style="514" customWidth="1"/>
    <col min="6660" max="6660" width="12.88671875" style="514" customWidth="1"/>
    <col min="6661" max="6661" width="10.109375" style="514" customWidth="1"/>
    <col min="6662" max="6663" width="10.33203125" style="514" customWidth="1"/>
    <col min="6664" max="6665" width="7.109375" style="514" customWidth="1"/>
    <col min="6666" max="6666" width="12.5546875" style="514" customWidth="1"/>
    <col min="6667" max="6667" width="9.5546875" style="514" customWidth="1"/>
    <col min="6668" max="6668" width="13.109375" style="514" customWidth="1"/>
    <col min="6669" max="6669" width="12.5546875" style="514" customWidth="1"/>
    <col min="6670" max="6670" width="9.33203125" style="514" customWidth="1"/>
    <col min="6671" max="6671" width="12.6640625" style="514" customWidth="1"/>
    <col min="6672" max="6672" width="11" style="514" customWidth="1"/>
    <col min="6673" max="6673" width="12.88671875" style="514" customWidth="1"/>
    <col min="6674" max="6674" width="11.109375" style="514" customWidth="1"/>
    <col min="6675" max="6675" width="11" style="514" customWidth="1"/>
    <col min="6676" max="6677" width="13.109375" style="514" customWidth="1"/>
    <col min="6678" max="6679" width="8.44140625" style="514" customWidth="1"/>
    <col min="6680" max="6680" width="11.44140625" style="514" customWidth="1"/>
    <col min="6681" max="6681" width="14.5546875" style="514" customWidth="1"/>
    <col min="6682" max="6910" width="9.109375" style="514"/>
    <col min="6911" max="6911" width="8" style="514" customWidth="1"/>
    <col min="6912" max="6912" width="26.33203125" style="514" customWidth="1"/>
    <col min="6913" max="6913" width="13.109375" style="514" customWidth="1"/>
    <col min="6914" max="6914" width="10.88671875" style="514" customWidth="1"/>
    <col min="6915" max="6915" width="14.5546875" style="514" customWidth="1"/>
    <col min="6916" max="6916" width="12.88671875" style="514" customWidth="1"/>
    <col min="6917" max="6917" width="10.109375" style="514" customWidth="1"/>
    <col min="6918" max="6919" width="10.33203125" style="514" customWidth="1"/>
    <col min="6920" max="6921" width="7.109375" style="514" customWidth="1"/>
    <col min="6922" max="6922" width="12.5546875" style="514" customWidth="1"/>
    <col min="6923" max="6923" width="9.5546875" style="514" customWidth="1"/>
    <col min="6924" max="6924" width="13.109375" style="514" customWidth="1"/>
    <col min="6925" max="6925" width="12.5546875" style="514" customWidth="1"/>
    <col min="6926" max="6926" width="9.33203125" style="514" customWidth="1"/>
    <col min="6927" max="6927" width="12.6640625" style="514" customWidth="1"/>
    <col min="6928" max="6928" width="11" style="514" customWidth="1"/>
    <col min="6929" max="6929" width="12.88671875" style="514" customWidth="1"/>
    <col min="6930" max="6930" width="11.109375" style="514" customWidth="1"/>
    <col min="6931" max="6931" width="11" style="514" customWidth="1"/>
    <col min="6932" max="6933" width="13.109375" style="514" customWidth="1"/>
    <col min="6934" max="6935" width="8.44140625" style="514" customWidth="1"/>
    <col min="6936" max="6936" width="11.44140625" style="514" customWidth="1"/>
    <col min="6937" max="6937" width="14.5546875" style="514" customWidth="1"/>
    <col min="6938" max="7166" width="9.109375" style="514"/>
    <col min="7167" max="7167" width="8" style="514" customWidth="1"/>
    <col min="7168" max="7168" width="26.33203125" style="514" customWidth="1"/>
    <col min="7169" max="7169" width="13.109375" style="514" customWidth="1"/>
    <col min="7170" max="7170" width="10.88671875" style="514" customWidth="1"/>
    <col min="7171" max="7171" width="14.5546875" style="514" customWidth="1"/>
    <col min="7172" max="7172" width="12.88671875" style="514" customWidth="1"/>
    <col min="7173" max="7173" width="10.109375" style="514" customWidth="1"/>
    <col min="7174" max="7175" width="10.33203125" style="514" customWidth="1"/>
    <col min="7176" max="7177" width="7.109375" style="514" customWidth="1"/>
    <col min="7178" max="7178" width="12.5546875" style="514" customWidth="1"/>
    <col min="7179" max="7179" width="9.5546875" style="514" customWidth="1"/>
    <col min="7180" max="7180" width="13.109375" style="514" customWidth="1"/>
    <col min="7181" max="7181" width="12.5546875" style="514" customWidth="1"/>
    <col min="7182" max="7182" width="9.33203125" style="514" customWidth="1"/>
    <col min="7183" max="7183" width="12.6640625" style="514" customWidth="1"/>
    <col min="7184" max="7184" width="11" style="514" customWidth="1"/>
    <col min="7185" max="7185" width="12.88671875" style="514" customWidth="1"/>
    <col min="7186" max="7186" width="11.109375" style="514" customWidth="1"/>
    <col min="7187" max="7187" width="11" style="514" customWidth="1"/>
    <col min="7188" max="7189" width="13.109375" style="514" customWidth="1"/>
    <col min="7190" max="7191" width="8.44140625" style="514" customWidth="1"/>
    <col min="7192" max="7192" width="11.44140625" style="514" customWidth="1"/>
    <col min="7193" max="7193" width="14.5546875" style="514" customWidth="1"/>
    <col min="7194" max="7422" width="9.109375" style="514"/>
    <col min="7423" max="7423" width="8" style="514" customWidth="1"/>
    <col min="7424" max="7424" width="26.33203125" style="514" customWidth="1"/>
    <col min="7425" max="7425" width="13.109375" style="514" customWidth="1"/>
    <col min="7426" max="7426" width="10.88671875" style="514" customWidth="1"/>
    <col min="7427" max="7427" width="14.5546875" style="514" customWidth="1"/>
    <col min="7428" max="7428" width="12.88671875" style="514" customWidth="1"/>
    <col min="7429" max="7429" width="10.109375" style="514" customWidth="1"/>
    <col min="7430" max="7431" width="10.33203125" style="514" customWidth="1"/>
    <col min="7432" max="7433" width="7.109375" style="514" customWidth="1"/>
    <col min="7434" max="7434" width="12.5546875" style="514" customWidth="1"/>
    <col min="7435" max="7435" width="9.5546875" style="514" customWidth="1"/>
    <col min="7436" max="7436" width="13.109375" style="514" customWidth="1"/>
    <col min="7437" max="7437" width="12.5546875" style="514" customWidth="1"/>
    <col min="7438" max="7438" width="9.33203125" style="514" customWidth="1"/>
    <col min="7439" max="7439" width="12.6640625" style="514" customWidth="1"/>
    <col min="7440" max="7440" width="11" style="514" customWidth="1"/>
    <col min="7441" max="7441" width="12.88671875" style="514" customWidth="1"/>
    <col min="7442" max="7442" width="11.109375" style="514" customWidth="1"/>
    <col min="7443" max="7443" width="11" style="514" customWidth="1"/>
    <col min="7444" max="7445" width="13.109375" style="514" customWidth="1"/>
    <col min="7446" max="7447" width="8.44140625" style="514" customWidth="1"/>
    <col min="7448" max="7448" width="11.44140625" style="514" customWidth="1"/>
    <col min="7449" max="7449" width="14.5546875" style="514" customWidth="1"/>
    <col min="7450" max="7678" width="9.109375" style="514"/>
    <col min="7679" max="7679" width="8" style="514" customWidth="1"/>
    <col min="7680" max="7680" width="26.33203125" style="514" customWidth="1"/>
    <col min="7681" max="7681" width="13.109375" style="514" customWidth="1"/>
    <col min="7682" max="7682" width="10.88671875" style="514" customWidth="1"/>
    <col min="7683" max="7683" width="14.5546875" style="514" customWidth="1"/>
    <col min="7684" max="7684" width="12.88671875" style="514" customWidth="1"/>
    <col min="7685" max="7685" width="10.109375" style="514" customWidth="1"/>
    <col min="7686" max="7687" width="10.33203125" style="514" customWidth="1"/>
    <col min="7688" max="7689" width="7.109375" style="514" customWidth="1"/>
    <col min="7690" max="7690" width="12.5546875" style="514" customWidth="1"/>
    <col min="7691" max="7691" width="9.5546875" style="514" customWidth="1"/>
    <col min="7692" max="7692" width="13.109375" style="514" customWidth="1"/>
    <col min="7693" max="7693" width="12.5546875" style="514" customWidth="1"/>
    <col min="7694" max="7694" width="9.33203125" style="514" customWidth="1"/>
    <col min="7695" max="7695" width="12.6640625" style="514" customWidth="1"/>
    <col min="7696" max="7696" width="11" style="514" customWidth="1"/>
    <col min="7697" max="7697" width="12.88671875" style="514" customWidth="1"/>
    <col min="7698" max="7698" width="11.109375" style="514" customWidth="1"/>
    <col min="7699" max="7699" width="11" style="514" customWidth="1"/>
    <col min="7700" max="7701" width="13.109375" style="514" customWidth="1"/>
    <col min="7702" max="7703" width="8.44140625" style="514" customWidth="1"/>
    <col min="7704" max="7704" width="11.44140625" style="514" customWidth="1"/>
    <col min="7705" max="7705" width="14.5546875" style="514" customWidth="1"/>
    <col min="7706" max="7934" width="9.109375" style="514"/>
    <col min="7935" max="7935" width="8" style="514" customWidth="1"/>
    <col min="7936" max="7936" width="26.33203125" style="514" customWidth="1"/>
    <col min="7937" max="7937" width="13.109375" style="514" customWidth="1"/>
    <col min="7938" max="7938" width="10.88671875" style="514" customWidth="1"/>
    <col min="7939" max="7939" width="14.5546875" style="514" customWidth="1"/>
    <col min="7940" max="7940" width="12.88671875" style="514" customWidth="1"/>
    <col min="7941" max="7941" width="10.109375" style="514" customWidth="1"/>
    <col min="7942" max="7943" width="10.33203125" style="514" customWidth="1"/>
    <col min="7944" max="7945" width="7.109375" style="514" customWidth="1"/>
    <col min="7946" max="7946" width="12.5546875" style="514" customWidth="1"/>
    <col min="7947" max="7947" width="9.5546875" style="514" customWidth="1"/>
    <col min="7948" max="7948" width="13.109375" style="514" customWidth="1"/>
    <col min="7949" max="7949" width="12.5546875" style="514" customWidth="1"/>
    <col min="7950" max="7950" width="9.33203125" style="514" customWidth="1"/>
    <col min="7951" max="7951" width="12.6640625" style="514" customWidth="1"/>
    <col min="7952" max="7952" width="11" style="514" customWidth="1"/>
    <col min="7953" max="7953" width="12.88671875" style="514" customWidth="1"/>
    <col min="7954" max="7954" width="11.109375" style="514" customWidth="1"/>
    <col min="7955" max="7955" width="11" style="514" customWidth="1"/>
    <col min="7956" max="7957" width="13.109375" style="514" customWidth="1"/>
    <col min="7958" max="7959" width="8.44140625" style="514" customWidth="1"/>
    <col min="7960" max="7960" width="11.44140625" style="514" customWidth="1"/>
    <col min="7961" max="7961" width="14.5546875" style="514" customWidth="1"/>
    <col min="7962" max="8190" width="9.109375" style="514"/>
    <col min="8191" max="8191" width="8" style="514" customWidth="1"/>
    <col min="8192" max="8192" width="26.33203125" style="514" customWidth="1"/>
    <col min="8193" max="8193" width="13.109375" style="514" customWidth="1"/>
    <col min="8194" max="8194" width="10.88671875" style="514" customWidth="1"/>
    <col min="8195" max="8195" width="14.5546875" style="514" customWidth="1"/>
    <col min="8196" max="8196" width="12.88671875" style="514" customWidth="1"/>
    <col min="8197" max="8197" width="10.109375" style="514" customWidth="1"/>
    <col min="8198" max="8199" width="10.33203125" style="514" customWidth="1"/>
    <col min="8200" max="8201" width="7.109375" style="514" customWidth="1"/>
    <col min="8202" max="8202" width="12.5546875" style="514" customWidth="1"/>
    <col min="8203" max="8203" width="9.5546875" style="514" customWidth="1"/>
    <col min="8204" max="8204" width="13.109375" style="514" customWidth="1"/>
    <col min="8205" max="8205" width="12.5546875" style="514" customWidth="1"/>
    <col min="8206" max="8206" width="9.33203125" style="514" customWidth="1"/>
    <col min="8207" max="8207" width="12.6640625" style="514" customWidth="1"/>
    <col min="8208" max="8208" width="11" style="514" customWidth="1"/>
    <col min="8209" max="8209" width="12.88671875" style="514" customWidth="1"/>
    <col min="8210" max="8210" width="11.109375" style="514" customWidth="1"/>
    <col min="8211" max="8211" width="11" style="514" customWidth="1"/>
    <col min="8212" max="8213" width="13.109375" style="514" customWidth="1"/>
    <col min="8214" max="8215" width="8.44140625" style="514" customWidth="1"/>
    <col min="8216" max="8216" width="11.44140625" style="514" customWidth="1"/>
    <col min="8217" max="8217" width="14.5546875" style="514" customWidth="1"/>
    <col min="8218" max="8446" width="9.109375" style="514"/>
    <col min="8447" max="8447" width="8" style="514" customWidth="1"/>
    <col min="8448" max="8448" width="26.33203125" style="514" customWidth="1"/>
    <col min="8449" max="8449" width="13.109375" style="514" customWidth="1"/>
    <col min="8450" max="8450" width="10.88671875" style="514" customWidth="1"/>
    <col min="8451" max="8451" width="14.5546875" style="514" customWidth="1"/>
    <col min="8452" max="8452" width="12.88671875" style="514" customWidth="1"/>
    <col min="8453" max="8453" width="10.109375" style="514" customWidth="1"/>
    <col min="8454" max="8455" width="10.33203125" style="514" customWidth="1"/>
    <col min="8456" max="8457" width="7.109375" style="514" customWidth="1"/>
    <col min="8458" max="8458" width="12.5546875" style="514" customWidth="1"/>
    <col min="8459" max="8459" width="9.5546875" style="514" customWidth="1"/>
    <col min="8460" max="8460" width="13.109375" style="514" customWidth="1"/>
    <col min="8461" max="8461" width="12.5546875" style="514" customWidth="1"/>
    <col min="8462" max="8462" width="9.33203125" style="514" customWidth="1"/>
    <col min="8463" max="8463" width="12.6640625" style="514" customWidth="1"/>
    <col min="8464" max="8464" width="11" style="514" customWidth="1"/>
    <col min="8465" max="8465" width="12.88671875" style="514" customWidth="1"/>
    <col min="8466" max="8466" width="11.109375" style="514" customWidth="1"/>
    <col min="8467" max="8467" width="11" style="514" customWidth="1"/>
    <col min="8468" max="8469" width="13.109375" style="514" customWidth="1"/>
    <col min="8470" max="8471" width="8.44140625" style="514" customWidth="1"/>
    <col min="8472" max="8472" width="11.44140625" style="514" customWidth="1"/>
    <col min="8473" max="8473" width="14.5546875" style="514" customWidth="1"/>
    <col min="8474" max="8702" width="9.109375" style="514"/>
    <col min="8703" max="8703" width="8" style="514" customWidth="1"/>
    <col min="8704" max="8704" width="26.33203125" style="514" customWidth="1"/>
    <col min="8705" max="8705" width="13.109375" style="514" customWidth="1"/>
    <col min="8706" max="8706" width="10.88671875" style="514" customWidth="1"/>
    <col min="8707" max="8707" width="14.5546875" style="514" customWidth="1"/>
    <col min="8708" max="8708" width="12.88671875" style="514" customWidth="1"/>
    <col min="8709" max="8709" width="10.109375" style="514" customWidth="1"/>
    <col min="8710" max="8711" width="10.33203125" style="514" customWidth="1"/>
    <col min="8712" max="8713" width="7.109375" style="514" customWidth="1"/>
    <col min="8714" max="8714" width="12.5546875" style="514" customWidth="1"/>
    <col min="8715" max="8715" width="9.5546875" style="514" customWidth="1"/>
    <col min="8716" max="8716" width="13.109375" style="514" customWidth="1"/>
    <col min="8717" max="8717" width="12.5546875" style="514" customWidth="1"/>
    <col min="8718" max="8718" width="9.33203125" style="514" customWidth="1"/>
    <col min="8719" max="8719" width="12.6640625" style="514" customWidth="1"/>
    <col min="8720" max="8720" width="11" style="514" customWidth="1"/>
    <col min="8721" max="8721" width="12.88671875" style="514" customWidth="1"/>
    <col min="8722" max="8722" width="11.109375" style="514" customWidth="1"/>
    <col min="8723" max="8723" width="11" style="514" customWidth="1"/>
    <col min="8724" max="8725" width="13.109375" style="514" customWidth="1"/>
    <col min="8726" max="8727" width="8.44140625" style="514" customWidth="1"/>
    <col min="8728" max="8728" width="11.44140625" style="514" customWidth="1"/>
    <col min="8729" max="8729" width="14.5546875" style="514" customWidth="1"/>
    <col min="8730" max="8958" width="9.109375" style="514"/>
    <col min="8959" max="8959" width="8" style="514" customWidth="1"/>
    <col min="8960" max="8960" width="26.33203125" style="514" customWidth="1"/>
    <col min="8961" max="8961" width="13.109375" style="514" customWidth="1"/>
    <col min="8962" max="8962" width="10.88671875" style="514" customWidth="1"/>
    <col min="8963" max="8963" width="14.5546875" style="514" customWidth="1"/>
    <col min="8964" max="8964" width="12.88671875" style="514" customWidth="1"/>
    <col min="8965" max="8965" width="10.109375" style="514" customWidth="1"/>
    <col min="8966" max="8967" width="10.33203125" style="514" customWidth="1"/>
    <col min="8968" max="8969" width="7.109375" style="514" customWidth="1"/>
    <col min="8970" max="8970" width="12.5546875" style="514" customWidth="1"/>
    <col min="8971" max="8971" width="9.5546875" style="514" customWidth="1"/>
    <col min="8972" max="8972" width="13.109375" style="514" customWidth="1"/>
    <col min="8973" max="8973" width="12.5546875" style="514" customWidth="1"/>
    <col min="8974" max="8974" width="9.33203125" style="514" customWidth="1"/>
    <col min="8975" max="8975" width="12.6640625" style="514" customWidth="1"/>
    <col min="8976" max="8976" width="11" style="514" customWidth="1"/>
    <col min="8977" max="8977" width="12.88671875" style="514" customWidth="1"/>
    <col min="8978" max="8978" width="11.109375" style="514" customWidth="1"/>
    <col min="8979" max="8979" width="11" style="514" customWidth="1"/>
    <col min="8980" max="8981" width="13.109375" style="514" customWidth="1"/>
    <col min="8982" max="8983" width="8.44140625" style="514" customWidth="1"/>
    <col min="8984" max="8984" width="11.44140625" style="514" customWidth="1"/>
    <col min="8985" max="8985" width="14.5546875" style="514" customWidth="1"/>
    <col min="8986" max="9214" width="9.109375" style="514"/>
    <col min="9215" max="9215" width="8" style="514" customWidth="1"/>
    <col min="9216" max="9216" width="26.33203125" style="514" customWidth="1"/>
    <col min="9217" max="9217" width="13.109375" style="514" customWidth="1"/>
    <col min="9218" max="9218" width="10.88671875" style="514" customWidth="1"/>
    <col min="9219" max="9219" width="14.5546875" style="514" customWidth="1"/>
    <col min="9220" max="9220" width="12.88671875" style="514" customWidth="1"/>
    <col min="9221" max="9221" width="10.109375" style="514" customWidth="1"/>
    <col min="9222" max="9223" width="10.33203125" style="514" customWidth="1"/>
    <col min="9224" max="9225" width="7.109375" style="514" customWidth="1"/>
    <col min="9226" max="9226" width="12.5546875" style="514" customWidth="1"/>
    <col min="9227" max="9227" width="9.5546875" style="514" customWidth="1"/>
    <col min="9228" max="9228" width="13.109375" style="514" customWidth="1"/>
    <col min="9229" max="9229" width="12.5546875" style="514" customWidth="1"/>
    <col min="9230" max="9230" width="9.33203125" style="514" customWidth="1"/>
    <col min="9231" max="9231" width="12.6640625" style="514" customWidth="1"/>
    <col min="9232" max="9232" width="11" style="514" customWidth="1"/>
    <col min="9233" max="9233" width="12.88671875" style="514" customWidth="1"/>
    <col min="9234" max="9234" width="11.109375" style="514" customWidth="1"/>
    <col min="9235" max="9235" width="11" style="514" customWidth="1"/>
    <col min="9236" max="9237" width="13.109375" style="514" customWidth="1"/>
    <col min="9238" max="9239" width="8.44140625" style="514" customWidth="1"/>
    <col min="9240" max="9240" width="11.44140625" style="514" customWidth="1"/>
    <col min="9241" max="9241" width="14.5546875" style="514" customWidth="1"/>
    <col min="9242" max="9470" width="9.109375" style="514"/>
    <col min="9471" max="9471" width="8" style="514" customWidth="1"/>
    <col min="9472" max="9472" width="26.33203125" style="514" customWidth="1"/>
    <col min="9473" max="9473" width="13.109375" style="514" customWidth="1"/>
    <col min="9474" max="9474" width="10.88671875" style="514" customWidth="1"/>
    <col min="9475" max="9475" width="14.5546875" style="514" customWidth="1"/>
    <col min="9476" max="9476" width="12.88671875" style="514" customWidth="1"/>
    <col min="9477" max="9477" width="10.109375" style="514" customWidth="1"/>
    <col min="9478" max="9479" width="10.33203125" style="514" customWidth="1"/>
    <col min="9480" max="9481" width="7.109375" style="514" customWidth="1"/>
    <col min="9482" max="9482" width="12.5546875" style="514" customWidth="1"/>
    <col min="9483" max="9483" width="9.5546875" style="514" customWidth="1"/>
    <col min="9484" max="9484" width="13.109375" style="514" customWidth="1"/>
    <col min="9485" max="9485" width="12.5546875" style="514" customWidth="1"/>
    <col min="9486" max="9486" width="9.33203125" style="514" customWidth="1"/>
    <col min="9487" max="9487" width="12.6640625" style="514" customWidth="1"/>
    <col min="9488" max="9488" width="11" style="514" customWidth="1"/>
    <col min="9489" max="9489" width="12.88671875" style="514" customWidth="1"/>
    <col min="9490" max="9490" width="11.109375" style="514" customWidth="1"/>
    <col min="9491" max="9491" width="11" style="514" customWidth="1"/>
    <col min="9492" max="9493" width="13.109375" style="514" customWidth="1"/>
    <col min="9494" max="9495" width="8.44140625" style="514" customWidth="1"/>
    <col min="9496" max="9496" width="11.44140625" style="514" customWidth="1"/>
    <col min="9497" max="9497" width="14.5546875" style="514" customWidth="1"/>
    <col min="9498" max="9726" width="9.109375" style="514"/>
    <col min="9727" max="9727" width="8" style="514" customWidth="1"/>
    <col min="9728" max="9728" width="26.33203125" style="514" customWidth="1"/>
    <col min="9729" max="9729" width="13.109375" style="514" customWidth="1"/>
    <col min="9730" max="9730" width="10.88671875" style="514" customWidth="1"/>
    <col min="9731" max="9731" width="14.5546875" style="514" customWidth="1"/>
    <col min="9732" max="9732" width="12.88671875" style="514" customWidth="1"/>
    <col min="9733" max="9733" width="10.109375" style="514" customWidth="1"/>
    <col min="9734" max="9735" width="10.33203125" style="514" customWidth="1"/>
    <col min="9736" max="9737" width="7.109375" style="514" customWidth="1"/>
    <col min="9738" max="9738" width="12.5546875" style="514" customWidth="1"/>
    <col min="9739" max="9739" width="9.5546875" style="514" customWidth="1"/>
    <col min="9740" max="9740" width="13.109375" style="514" customWidth="1"/>
    <col min="9741" max="9741" width="12.5546875" style="514" customWidth="1"/>
    <col min="9742" max="9742" width="9.33203125" style="514" customWidth="1"/>
    <col min="9743" max="9743" width="12.6640625" style="514" customWidth="1"/>
    <col min="9744" max="9744" width="11" style="514" customWidth="1"/>
    <col min="9745" max="9745" width="12.88671875" style="514" customWidth="1"/>
    <col min="9746" max="9746" width="11.109375" style="514" customWidth="1"/>
    <col min="9747" max="9747" width="11" style="514" customWidth="1"/>
    <col min="9748" max="9749" width="13.109375" style="514" customWidth="1"/>
    <col min="9750" max="9751" width="8.44140625" style="514" customWidth="1"/>
    <col min="9752" max="9752" width="11.44140625" style="514" customWidth="1"/>
    <col min="9753" max="9753" width="14.5546875" style="514" customWidth="1"/>
    <col min="9754" max="9982" width="9.109375" style="514"/>
    <col min="9983" max="9983" width="8" style="514" customWidth="1"/>
    <col min="9984" max="9984" width="26.33203125" style="514" customWidth="1"/>
    <col min="9985" max="9985" width="13.109375" style="514" customWidth="1"/>
    <col min="9986" max="9986" width="10.88671875" style="514" customWidth="1"/>
    <col min="9987" max="9987" width="14.5546875" style="514" customWidth="1"/>
    <col min="9988" max="9988" width="12.88671875" style="514" customWidth="1"/>
    <col min="9989" max="9989" width="10.109375" style="514" customWidth="1"/>
    <col min="9990" max="9991" width="10.33203125" style="514" customWidth="1"/>
    <col min="9992" max="9993" width="7.109375" style="514" customWidth="1"/>
    <col min="9994" max="9994" width="12.5546875" style="514" customWidth="1"/>
    <col min="9995" max="9995" width="9.5546875" style="514" customWidth="1"/>
    <col min="9996" max="9996" width="13.109375" style="514" customWidth="1"/>
    <col min="9997" max="9997" width="12.5546875" style="514" customWidth="1"/>
    <col min="9998" max="9998" width="9.33203125" style="514" customWidth="1"/>
    <col min="9999" max="9999" width="12.6640625" style="514" customWidth="1"/>
    <col min="10000" max="10000" width="11" style="514" customWidth="1"/>
    <col min="10001" max="10001" width="12.88671875" style="514" customWidth="1"/>
    <col min="10002" max="10002" width="11.109375" style="514" customWidth="1"/>
    <col min="10003" max="10003" width="11" style="514" customWidth="1"/>
    <col min="10004" max="10005" width="13.109375" style="514" customWidth="1"/>
    <col min="10006" max="10007" width="8.44140625" style="514" customWidth="1"/>
    <col min="10008" max="10008" width="11.44140625" style="514" customWidth="1"/>
    <col min="10009" max="10009" width="14.5546875" style="514" customWidth="1"/>
    <col min="10010" max="10238" width="9.109375" style="514"/>
    <col min="10239" max="10239" width="8" style="514" customWidth="1"/>
    <col min="10240" max="10240" width="26.33203125" style="514" customWidth="1"/>
    <col min="10241" max="10241" width="13.109375" style="514" customWidth="1"/>
    <col min="10242" max="10242" width="10.88671875" style="514" customWidth="1"/>
    <col min="10243" max="10243" width="14.5546875" style="514" customWidth="1"/>
    <col min="10244" max="10244" width="12.88671875" style="514" customWidth="1"/>
    <col min="10245" max="10245" width="10.109375" style="514" customWidth="1"/>
    <col min="10246" max="10247" width="10.33203125" style="514" customWidth="1"/>
    <col min="10248" max="10249" width="7.109375" style="514" customWidth="1"/>
    <col min="10250" max="10250" width="12.5546875" style="514" customWidth="1"/>
    <col min="10251" max="10251" width="9.5546875" style="514" customWidth="1"/>
    <col min="10252" max="10252" width="13.109375" style="514" customWidth="1"/>
    <col min="10253" max="10253" width="12.5546875" style="514" customWidth="1"/>
    <col min="10254" max="10254" width="9.33203125" style="514" customWidth="1"/>
    <col min="10255" max="10255" width="12.6640625" style="514" customWidth="1"/>
    <col min="10256" max="10256" width="11" style="514" customWidth="1"/>
    <col min="10257" max="10257" width="12.88671875" style="514" customWidth="1"/>
    <col min="10258" max="10258" width="11.109375" style="514" customWidth="1"/>
    <col min="10259" max="10259" width="11" style="514" customWidth="1"/>
    <col min="10260" max="10261" width="13.109375" style="514" customWidth="1"/>
    <col min="10262" max="10263" width="8.44140625" style="514" customWidth="1"/>
    <col min="10264" max="10264" width="11.44140625" style="514" customWidth="1"/>
    <col min="10265" max="10265" width="14.5546875" style="514" customWidth="1"/>
    <col min="10266" max="10494" width="9.109375" style="514"/>
    <col min="10495" max="10495" width="8" style="514" customWidth="1"/>
    <col min="10496" max="10496" width="26.33203125" style="514" customWidth="1"/>
    <col min="10497" max="10497" width="13.109375" style="514" customWidth="1"/>
    <col min="10498" max="10498" width="10.88671875" style="514" customWidth="1"/>
    <col min="10499" max="10499" width="14.5546875" style="514" customWidth="1"/>
    <col min="10500" max="10500" width="12.88671875" style="514" customWidth="1"/>
    <col min="10501" max="10501" width="10.109375" style="514" customWidth="1"/>
    <col min="10502" max="10503" width="10.33203125" style="514" customWidth="1"/>
    <col min="10504" max="10505" width="7.109375" style="514" customWidth="1"/>
    <col min="10506" max="10506" width="12.5546875" style="514" customWidth="1"/>
    <col min="10507" max="10507" width="9.5546875" style="514" customWidth="1"/>
    <col min="10508" max="10508" width="13.109375" style="514" customWidth="1"/>
    <col min="10509" max="10509" width="12.5546875" style="514" customWidth="1"/>
    <col min="10510" max="10510" width="9.33203125" style="514" customWidth="1"/>
    <col min="10511" max="10511" width="12.6640625" style="514" customWidth="1"/>
    <col min="10512" max="10512" width="11" style="514" customWidth="1"/>
    <col min="10513" max="10513" width="12.88671875" style="514" customWidth="1"/>
    <col min="10514" max="10514" width="11.109375" style="514" customWidth="1"/>
    <col min="10515" max="10515" width="11" style="514" customWidth="1"/>
    <col min="10516" max="10517" width="13.109375" style="514" customWidth="1"/>
    <col min="10518" max="10519" width="8.44140625" style="514" customWidth="1"/>
    <col min="10520" max="10520" width="11.44140625" style="514" customWidth="1"/>
    <col min="10521" max="10521" width="14.5546875" style="514" customWidth="1"/>
    <col min="10522" max="10750" width="9.109375" style="514"/>
    <col min="10751" max="10751" width="8" style="514" customWidth="1"/>
    <col min="10752" max="10752" width="26.33203125" style="514" customWidth="1"/>
    <col min="10753" max="10753" width="13.109375" style="514" customWidth="1"/>
    <col min="10754" max="10754" width="10.88671875" style="514" customWidth="1"/>
    <col min="10755" max="10755" width="14.5546875" style="514" customWidth="1"/>
    <col min="10756" max="10756" width="12.88671875" style="514" customWidth="1"/>
    <col min="10757" max="10757" width="10.109375" style="514" customWidth="1"/>
    <col min="10758" max="10759" width="10.33203125" style="514" customWidth="1"/>
    <col min="10760" max="10761" width="7.109375" style="514" customWidth="1"/>
    <col min="10762" max="10762" width="12.5546875" style="514" customWidth="1"/>
    <col min="10763" max="10763" width="9.5546875" style="514" customWidth="1"/>
    <col min="10764" max="10764" width="13.109375" style="514" customWidth="1"/>
    <col min="10765" max="10765" width="12.5546875" style="514" customWidth="1"/>
    <col min="10766" max="10766" width="9.33203125" style="514" customWidth="1"/>
    <col min="10767" max="10767" width="12.6640625" style="514" customWidth="1"/>
    <col min="10768" max="10768" width="11" style="514" customWidth="1"/>
    <col min="10769" max="10769" width="12.88671875" style="514" customWidth="1"/>
    <col min="10770" max="10770" width="11.109375" style="514" customWidth="1"/>
    <col min="10771" max="10771" width="11" style="514" customWidth="1"/>
    <col min="10772" max="10773" width="13.109375" style="514" customWidth="1"/>
    <col min="10774" max="10775" width="8.44140625" style="514" customWidth="1"/>
    <col min="10776" max="10776" width="11.44140625" style="514" customWidth="1"/>
    <col min="10777" max="10777" width="14.5546875" style="514" customWidth="1"/>
    <col min="10778" max="11006" width="9.109375" style="514"/>
    <col min="11007" max="11007" width="8" style="514" customWidth="1"/>
    <col min="11008" max="11008" width="26.33203125" style="514" customWidth="1"/>
    <col min="11009" max="11009" width="13.109375" style="514" customWidth="1"/>
    <col min="11010" max="11010" width="10.88671875" style="514" customWidth="1"/>
    <col min="11011" max="11011" width="14.5546875" style="514" customWidth="1"/>
    <col min="11012" max="11012" width="12.88671875" style="514" customWidth="1"/>
    <col min="11013" max="11013" width="10.109375" style="514" customWidth="1"/>
    <col min="11014" max="11015" width="10.33203125" style="514" customWidth="1"/>
    <col min="11016" max="11017" width="7.109375" style="514" customWidth="1"/>
    <col min="11018" max="11018" width="12.5546875" style="514" customWidth="1"/>
    <col min="11019" max="11019" width="9.5546875" style="514" customWidth="1"/>
    <col min="11020" max="11020" width="13.109375" style="514" customWidth="1"/>
    <col min="11021" max="11021" width="12.5546875" style="514" customWidth="1"/>
    <col min="11022" max="11022" width="9.33203125" style="514" customWidth="1"/>
    <col min="11023" max="11023" width="12.6640625" style="514" customWidth="1"/>
    <col min="11024" max="11024" width="11" style="514" customWidth="1"/>
    <col min="11025" max="11025" width="12.88671875" style="514" customWidth="1"/>
    <col min="11026" max="11026" width="11.109375" style="514" customWidth="1"/>
    <col min="11027" max="11027" width="11" style="514" customWidth="1"/>
    <col min="11028" max="11029" width="13.109375" style="514" customWidth="1"/>
    <col min="11030" max="11031" width="8.44140625" style="514" customWidth="1"/>
    <col min="11032" max="11032" width="11.44140625" style="514" customWidth="1"/>
    <col min="11033" max="11033" width="14.5546875" style="514" customWidth="1"/>
    <col min="11034" max="11262" width="9.109375" style="514"/>
    <col min="11263" max="11263" width="8" style="514" customWidth="1"/>
    <col min="11264" max="11264" width="26.33203125" style="514" customWidth="1"/>
    <col min="11265" max="11265" width="13.109375" style="514" customWidth="1"/>
    <col min="11266" max="11266" width="10.88671875" style="514" customWidth="1"/>
    <col min="11267" max="11267" width="14.5546875" style="514" customWidth="1"/>
    <col min="11268" max="11268" width="12.88671875" style="514" customWidth="1"/>
    <col min="11269" max="11269" width="10.109375" style="514" customWidth="1"/>
    <col min="11270" max="11271" width="10.33203125" style="514" customWidth="1"/>
    <col min="11272" max="11273" width="7.109375" style="514" customWidth="1"/>
    <col min="11274" max="11274" width="12.5546875" style="514" customWidth="1"/>
    <col min="11275" max="11275" width="9.5546875" style="514" customWidth="1"/>
    <col min="11276" max="11276" width="13.109375" style="514" customWidth="1"/>
    <col min="11277" max="11277" width="12.5546875" style="514" customWidth="1"/>
    <col min="11278" max="11278" width="9.33203125" style="514" customWidth="1"/>
    <col min="11279" max="11279" width="12.6640625" style="514" customWidth="1"/>
    <col min="11280" max="11280" width="11" style="514" customWidth="1"/>
    <col min="11281" max="11281" width="12.88671875" style="514" customWidth="1"/>
    <col min="11282" max="11282" width="11.109375" style="514" customWidth="1"/>
    <col min="11283" max="11283" width="11" style="514" customWidth="1"/>
    <col min="11284" max="11285" width="13.109375" style="514" customWidth="1"/>
    <col min="11286" max="11287" width="8.44140625" style="514" customWidth="1"/>
    <col min="11288" max="11288" width="11.44140625" style="514" customWidth="1"/>
    <col min="11289" max="11289" width="14.5546875" style="514" customWidth="1"/>
    <col min="11290" max="11518" width="9.109375" style="514"/>
    <col min="11519" max="11519" width="8" style="514" customWidth="1"/>
    <col min="11520" max="11520" width="26.33203125" style="514" customWidth="1"/>
    <col min="11521" max="11521" width="13.109375" style="514" customWidth="1"/>
    <col min="11522" max="11522" width="10.88671875" style="514" customWidth="1"/>
    <col min="11523" max="11523" width="14.5546875" style="514" customWidth="1"/>
    <col min="11524" max="11524" width="12.88671875" style="514" customWidth="1"/>
    <col min="11525" max="11525" width="10.109375" style="514" customWidth="1"/>
    <col min="11526" max="11527" width="10.33203125" style="514" customWidth="1"/>
    <col min="11528" max="11529" width="7.109375" style="514" customWidth="1"/>
    <col min="11530" max="11530" width="12.5546875" style="514" customWidth="1"/>
    <col min="11531" max="11531" width="9.5546875" style="514" customWidth="1"/>
    <col min="11532" max="11532" width="13.109375" style="514" customWidth="1"/>
    <col min="11533" max="11533" width="12.5546875" style="514" customWidth="1"/>
    <col min="11534" max="11534" width="9.33203125" style="514" customWidth="1"/>
    <col min="11535" max="11535" width="12.6640625" style="514" customWidth="1"/>
    <col min="11536" max="11536" width="11" style="514" customWidth="1"/>
    <col min="11537" max="11537" width="12.88671875" style="514" customWidth="1"/>
    <col min="11538" max="11538" width="11.109375" style="514" customWidth="1"/>
    <col min="11539" max="11539" width="11" style="514" customWidth="1"/>
    <col min="11540" max="11541" width="13.109375" style="514" customWidth="1"/>
    <col min="11542" max="11543" width="8.44140625" style="514" customWidth="1"/>
    <col min="11544" max="11544" width="11.44140625" style="514" customWidth="1"/>
    <col min="11545" max="11545" width="14.5546875" style="514" customWidth="1"/>
    <col min="11546" max="11774" width="9.109375" style="514"/>
    <col min="11775" max="11775" width="8" style="514" customWidth="1"/>
    <col min="11776" max="11776" width="26.33203125" style="514" customWidth="1"/>
    <col min="11777" max="11777" width="13.109375" style="514" customWidth="1"/>
    <col min="11778" max="11778" width="10.88671875" style="514" customWidth="1"/>
    <col min="11779" max="11779" width="14.5546875" style="514" customWidth="1"/>
    <col min="11780" max="11780" width="12.88671875" style="514" customWidth="1"/>
    <col min="11781" max="11781" width="10.109375" style="514" customWidth="1"/>
    <col min="11782" max="11783" width="10.33203125" style="514" customWidth="1"/>
    <col min="11784" max="11785" width="7.109375" style="514" customWidth="1"/>
    <col min="11786" max="11786" width="12.5546875" style="514" customWidth="1"/>
    <col min="11787" max="11787" width="9.5546875" style="514" customWidth="1"/>
    <col min="11788" max="11788" width="13.109375" style="514" customWidth="1"/>
    <col min="11789" max="11789" width="12.5546875" style="514" customWidth="1"/>
    <col min="11790" max="11790" width="9.33203125" style="514" customWidth="1"/>
    <col min="11791" max="11791" width="12.6640625" style="514" customWidth="1"/>
    <col min="11792" max="11792" width="11" style="514" customWidth="1"/>
    <col min="11793" max="11793" width="12.88671875" style="514" customWidth="1"/>
    <col min="11794" max="11794" width="11.109375" style="514" customWidth="1"/>
    <col min="11795" max="11795" width="11" style="514" customWidth="1"/>
    <col min="11796" max="11797" width="13.109375" style="514" customWidth="1"/>
    <col min="11798" max="11799" width="8.44140625" style="514" customWidth="1"/>
    <col min="11800" max="11800" width="11.44140625" style="514" customWidth="1"/>
    <col min="11801" max="11801" width="14.5546875" style="514" customWidth="1"/>
    <col min="11802" max="12030" width="9.109375" style="514"/>
    <col min="12031" max="12031" width="8" style="514" customWidth="1"/>
    <col min="12032" max="12032" width="26.33203125" style="514" customWidth="1"/>
    <col min="12033" max="12033" width="13.109375" style="514" customWidth="1"/>
    <col min="12034" max="12034" width="10.88671875" style="514" customWidth="1"/>
    <col min="12035" max="12035" width="14.5546875" style="514" customWidth="1"/>
    <col min="12036" max="12036" width="12.88671875" style="514" customWidth="1"/>
    <col min="12037" max="12037" width="10.109375" style="514" customWidth="1"/>
    <col min="12038" max="12039" width="10.33203125" style="514" customWidth="1"/>
    <col min="12040" max="12041" width="7.109375" style="514" customWidth="1"/>
    <col min="12042" max="12042" width="12.5546875" style="514" customWidth="1"/>
    <col min="12043" max="12043" width="9.5546875" style="514" customWidth="1"/>
    <col min="12044" max="12044" width="13.109375" style="514" customWidth="1"/>
    <col min="12045" max="12045" width="12.5546875" style="514" customWidth="1"/>
    <col min="12046" max="12046" width="9.33203125" style="514" customWidth="1"/>
    <col min="12047" max="12047" width="12.6640625" style="514" customWidth="1"/>
    <col min="12048" max="12048" width="11" style="514" customWidth="1"/>
    <col min="12049" max="12049" width="12.88671875" style="514" customWidth="1"/>
    <col min="12050" max="12050" width="11.109375" style="514" customWidth="1"/>
    <col min="12051" max="12051" width="11" style="514" customWidth="1"/>
    <col min="12052" max="12053" width="13.109375" style="514" customWidth="1"/>
    <col min="12054" max="12055" width="8.44140625" style="514" customWidth="1"/>
    <col min="12056" max="12056" width="11.44140625" style="514" customWidth="1"/>
    <col min="12057" max="12057" width="14.5546875" style="514" customWidth="1"/>
    <col min="12058" max="12286" width="9.109375" style="514"/>
    <col min="12287" max="12287" width="8" style="514" customWidth="1"/>
    <col min="12288" max="12288" width="26.33203125" style="514" customWidth="1"/>
    <col min="12289" max="12289" width="13.109375" style="514" customWidth="1"/>
    <col min="12290" max="12290" width="10.88671875" style="514" customWidth="1"/>
    <col min="12291" max="12291" width="14.5546875" style="514" customWidth="1"/>
    <col min="12292" max="12292" width="12.88671875" style="514" customWidth="1"/>
    <col min="12293" max="12293" width="10.109375" style="514" customWidth="1"/>
    <col min="12294" max="12295" width="10.33203125" style="514" customWidth="1"/>
    <col min="12296" max="12297" width="7.109375" style="514" customWidth="1"/>
    <col min="12298" max="12298" width="12.5546875" style="514" customWidth="1"/>
    <col min="12299" max="12299" width="9.5546875" style="514" customWidth="1"/>
    <col min="12300" max="12300" width="13.109375" style="514" customWidth="1"/>
    <col min="12301" max="12301" width="12.5546875" style="514" customWidth="1"/>
    <col min="12302" max="12302" width="9.33203125" style="514" customWidth="1"/>
    <col min="12303" max="12303" width="12.6640625" style="514" customWidth="1"/>
    <col min="12304" max="12304" width="11" style="514" customWidth="1"/>
    <col min="12305" max="12305" width="12.88671875" style="514" customWidth="1"/>
    <col min="12306" max="12306" width="11.109375" style="514" customWidth="1"/>
    <col min="12307" max="12307" width="11" style="514" customWidth="1"/>
    <col min="12308" max="12309" width="13.109375" style="514" customWidth="1"/>
    <col min="12310" max="12311" width="8.44140625" style="514" customWidth="1"/>
    <col min="12312" max="12312" width="11.44140625" style="514" customWidth="1"/>
    <col min="12313" max="12313" width="14.5546875" style="514" customWidth="1"/>
    <col min="12314" max="12542" width="9.109375" style="514"/>
    <col min="12543" max="12543" width="8" style="514" customWidth="1"/>
    <col min="12544" max="12544" width="26.33203125" style="514" customWidth="1"/>
    <col min="12545" max="12545" width="13.109375" style="514" customWidth="1"/>
    <col min="12546" max="12546" width="10.88671875" style="514" customWidth="1"/>
    <col min="12547" max="12547" width="14.5546875" style="514" customWidth="1"/>
    <col min="12548" max="12548" width="12.88671875" style="514" customWidth="1"/>
    <col min="12549" max="12549" width="10.109375" style="514" customWidth="1"/>
    <col min="12550" max="12551" width="10.33203125" style="514" customWidth="1"/>
    <col min="12552" max="12553" width="7.109375" style="514" customWidth="1"/>
    <col min="12554" max="12554" width="12.5546875" style="514" customWidth="1"/>
    <col min="12555" max="12555" width="9.5546875" style="514" customWidth="1"/>
    <col min="12556" max="12556" width="13.109375" style="514" customWidth="1"/>
    <col min="12557" max="12557" width="12.5546875" style="514" customWidth="1"/>
    <col min="12558" max="12558" width="9.33203125" style="514" customWidth="1"/>
    <col min="12559" max="12559" width="12.6640625" style="514" customWidth="1"/>
    <col min="12560" max="12560" width="11" style="514" customWidth="1"/>
    <col min="12561" max="12561" width="12.88671875" style="514" customWidth="1"/>
    <col min="12562" max="12562" width="11.109375" style="514" customWidth="1"/>
    <col min="12563" max="12563" width="11" style="514" customWidth="1"/>
    <col min="12564" max="12565" width="13.109375" style="514" customWidth="1"/>
    <col min="12566" max="12567" width="8.44140625" style="514" customWidth="1"/>
    <col min="12568" max="12568" width="11.44140625" style="514" customWidth="1"/>
    <col min="12569" max="12569" width="14.5546875" style="514" customWidth="1"/>
    <col min="12570" max="12798" width="9.109375" style="514"/>
    <col min="12799" max="12799" width="8" style="514" customWidth="1"/>
    <col min="12800" max="12800" width="26.33203125" style="514" customWidth="1"/>
    <col min="12801" max="12801" width="13.109375" style="514" customWidth="1"/>
    <col min="12802" max="12802" width="10.88671875" style="514" customWidth="1"/>
    <col min="12803" max="12803" width="14.5546875" style="514" customWidth="1"/>
    <col min="12804" max="12804" width="12.88671875" style="514" customWidth="1"/>
    <col min="12805" max="12805" width="10.109375" style="514" customWidth="1"/>
    <col min="12806" max="12807" width="10.33203125" style="514" customWidth="1"/>
    <col min="12808" max="12809" width="7.109375" style="514" customWidth="1"/>
    <col min="12810" max="12810" width="12.5546875" style="514" customWidth="1"/>
    <col min="12811" max="12811" width="9.5546875" style="514" customWidth="1"/>
    <col min="12812" max="12812" width="13.109375" style="514" customWidth="1"/>
    <col min="12813" max="12813" width="12.5546875" style="514" customWidth="1"/>
    <col min="12814" max="12814" width="9.33203125" style="514" customWidth="1"/>
    <col min="12815" max="12815" width="12.6640625" style="514" customWidth="1"/>
    <col min="12816" max="12816" width="11" style="514" customWidth="1"/>
    <col min="12817" max="12817" width="12.88671875" style="514" customWidth="1"/>
    <col min="12818" max="12818" width="11.109375" style="514" customWidth="1"/>
    <col min="12819" max="12819" width="11" style="514" customWidth="1"/>
    <col min="12820" max="12821" width="13.109375" style="514" customWidth="1"/>
    <col min="12822" max="12823" width="8.44140625" style="514" customWidth="1"/>
    <col min="12824" max="12824" width="11.44140625" style="514" customWidth="1"/>
    <col min="12825" max="12825" width="14.5546875" style="514" customWidth="1"/>
    <col min="12826" max="13054" width="9.109375" style="514"/>
    <col min="13055" max="13055" width="8" style="514" customWidth="1"/>
    <col min="13056" max="13056" width="26.33203125" style="514" customWidth="1"/>
    <col min="13057" max="13057" width="13.109375" style="514" customWidth="1"/>
    <col min="13058" max="13058" width="10.88671875" style="514" customWidth="1"/>
    <col min="13059" max="13059" width="14.5546875" style="514" customWidth="1"/>
    <col min="13060" max="13060" width="12.88671875" style="514" customWidth="1"/>
    <col min="13061" max="13061" width="10.109375" style="514" customWidth="1"/>
    <col min="13062" max="13063" width="10.33203125" style="514" customWidth="1"/>
    <col min="13064" max="13065" width="7.109375" style="514" customWidth="1"/>
    <col min="13066" max="13066" width="12.5546875" style="514" customWidth="1"/>
    <col min="13067" max="13067" width="9.5546875" style="514" customWidth="1"/>
    <col min="13068" max="13068" width="13.109375" style="514" customWidth="1"/>
    <col min="13069" max="13069" width="12.5546875" style="514" customWidth="1"/>
    <col min="13070" max="13070" width="9.33203125" style="514" customWidth="1"/>
    <col min="13071" max="13071" width="12.6640625" style="514" customWidth="1"/>
    <col min="13072" max="13072" width="11" style="514" customWidth="1"/>
    <col min="13073" max="13073" width="12.88671875" style="514" customWidth="1"/>
    <col min="13074" max="13074" width="11.109375" style="514" customWidth="1"/>
    <col min="13075" max="13075" width="11" style="514" customWidth="1"/>
    <col min="13076" max="13077" width="13.109375" style="514" customWidth="1"/>
    <col min="13078" max="13079" width="8.44140625" style="514" customWidth="1"/>
    <col min="13080" max="13080" width="11.44140625" style="514" customWidth="1"/>
    <col min="13081" max="13081" width="14.5546875" style="514" customWidth="1"/>
    <col min="13082" max="13310" width="9.109375" style="514"/>
    <col min="13311" max="13311" width="8" style="514" customWidth="1"/>
    <col min="13312" max="13312" width="26.33203125" style="514" customWidth="1"/>
    <col min="13313" max="13313" width="13.109375" style="514" customWidth="1"/>
    <col min="13314" max="13314" width="10.88671875" style="514" customWidth="1"/>
    <col min="13315" max="13315" width="14.5546875" style="514" customWidth="1"/>
    <col min="13316" max="13316" width="12.88671875" style="514" customWidth="1"/>
    <col min="13317" max="13317" width="10.109375" style="514" customWidth="1"/>
    <col min="13318" max="13319" width="10.33203125" style="514" customWidth="1"/>
    <col min="13320" max="13321" width="7.109375" style="514" customWidth="1"/>
    <col min="13322" max="13322" width="12.5546875" style="514" customWidth="1"/>
    <col min="13323" max="13323" width="9.5546875" style="514" customWidth="1"/>
    <col min="13324" max="13324" width="13.109375" style="514" customWidth="1"/>
    <col min="13325" max="13325" width="12.5546875" style="514" customWidth="1"/>
    <col min="13326" max="13326" width="9.33203125" style="514" customWidth="1"/>
    <col min="13327" max="13327" width="12.6640625" style="514" customWidth="1"/>
    <col min="13328" max="13328" width="11" style="514" customWidth="1"/>
    <col min="13329" max="13329" width="12.88671875" style="514" customWidth="1"/>
    <col min="13330" max="13330" width="11.109375" style="514" customWidth="1"/>
    <col min="13331" max="13331" width="11" style="514" customWidth="1"/>
    <col min="13332" max="13333" width="13.109375" style="514" customWidth="1"/>
    <col min="13334" max="13335" width="8.44140625" style="514" customWidth="1"/>
    <col min="13336" max="13336" width="11.44140625" style="514" customWidth="1"/>
    <col min="13337" max="13337" width="14.5546875" style="514" customWidth="1"/>
    <col min="13338" max="13566" width="9.109375" style="514"/>
    <col min="13567" max="13567" width="8" style="514" customWidth="1"/>
    <col min="13568" max="13568" width="26.33203125" style="514" customWidth="1"/>
    <col min="13569" max="13569" width="13.109375" style="514" customWidth="1"/>
    <col min="13570" max="13570" width="10.88671875" style="514" customWidth="1"/>
    <col min="13571" max="13571" width="14.5546875" style="514" customWidth="1"/>
    <col min="13572" max="13572" width="12.88671875" style="514" customWidth="1"/>
    <col min="13573" max="13573" width="10.109375" style="514" customWidth="1"/>
    <col min="13574" max="13575" width="10.33203125" style="514" customWidth="1"/>
    <col min="13576" max="13577" width="7.109375" style="514" customWidth="1"/>
    <col min="13578" max="13578" width="12.5546875" style="514" customWidth="1"/>
    <col min="13579" max="13579" width="9.5546875" style="514" customWidth="1"/>
    <col min="13580" max="13580" width="13.109375" style="514" customWidth="1"/>
    <col min="13581" max="13581" width="12.5546875" style="514" customWidth="1"/>
    <col min="13582" max="13582" width="9.33203125" style="514" customWidth="1"/>
    <col min="13583" max="13583" width="12.6640625" style="514" customWidth="1"/>
    <col min="13584" max="13584" width="11" style="514" customWidth="1"/>
    <col min="13585" max="13585" width="12.88671875" style="514" customWidth="1"/>
    <col min="13586" max="13586" width="11.109375" style="514" customWidth="1"/>
    <col min="13587" max="13587" width="11" style="514" customWidth="1"/>
    <col min="13588" max="13589" width="13.109375" style="514" customWidth="1"/>
    <col min="13590" max="13591" width="8.44140625" style="514" customWidth="1"/>
    <col min="13592" max="13592" width="11.44140625" style="514" customWidth="1"/>
    <col min="13593" max="13593" width="14.5546875" style="514" customWidth="1"/>
    <col min="13594" max="13822" width="9.109375" style="514"/>
    <col min="13823" max="13823" width="8" style="514" customWidth="1"/>
    <col min="13824" max="13824" width="26.33203125" style="514" customWidth="1"/>
    <col min="13825" max="13825" width="13.109375" style="514" customWidth="1"/>
    <col min="13826" max="13826" width="10.88671875" style="514" customWidth="1"/>
    <col min="13827" max="13827" width="14.5546875" style="514" customWidth="1"/>
    <col min="13828" max="13828" width="12.88671875" style="514" customWidth="1"/>
    <col min="13829" max="13829" width="10.109375" style="514" customWidth="1"/>
    <col min="13830" max="13831" width="10.33203125" style="514" customWidth="1"/>
    <col min="13832" max="13833" width="7.109375" style="514" customWidth="1"/>
    <col min="13834" max="13834" width="12.5546875" style="514" customWidth="1"/>
    <col min="13835" max="13835" width="9.5546875" style="514" customWidth="1"/>
    <col min="13836" max="13836" width="13.109375" style="514" customWidth="1"/>
    <col min="13837" max="13837" width="12.5546875" style="514" customWidth="1"/>
    <col min="13838" max="13838" width="9.33203125" style="514" customWidth="1"/>
    <col min="13839" max="13839" width="12.6640625" style="514" customWidth="1"/>
    <col min="13840" max="13840" width="11" style="514" customWidth="1"/>
    <col min="13841" max="13841" width="12.88671875" style="514" customWidth="1"/>
    <col min="13842" max="13842" width="11.109375" style="514" customWidth="1"/>
    <col min="13843" max="13843" width="11" style="514" customWidth="1"/>
    <col min="13844" max="13845" width="13.109375" style="514" customWidth="1"/>
    <col min="13846" max="13847" width="8.44140625" style="514" customWidth="1"/>
    <col min="13848" max="13848" width="11.44140625" style="514" customWidth="1"/>
    <col min="13849" max="13849" width="14.5546875" style="514" customWidth="1"/>
    <col min="13850" max="14078" width="9.109375" style="514"/>
    <col min="14079" max="14079" width="8" style="514" customWidth="1"/>
    <col min="14080" max="14080" width="26.33203125" style="514" customWidth="1"/>
    <col min="14081" max="14081" width="13.109375" style="514" customWidth="1"/>
    <col min="14082" max="14082" width="10.88671875" style="514" customWidth="1"/>
    <col min="14083" max="14083" width="14.5546875" style="514" customWidth="1"/>
    <col min="14084" max="14084" width="12.88671875" style="514" customWidth="1"/>
    <col min="14085" max="14085" width="10.109375" style="514" customWidth="1"/>
    <col min="14086" max="14087" width="10.33203125" style="514" customWidth="1"/>
    <col min="14088" max="14089" width="7.109375" style="514" customWidth="1"/>
    <col min="14090" max="14090" width="12.5546875" style="514" customWidth="1"/>
    <col min="14091" max="14091" width="9.5546875" style="514" customWidth="1"/>
    <col min="14092" max="14092" width="13.109375" style="514" customWidth="1"/>
    <col min="14093" max="14093" width="12.5546875" style="514" customWidth="1"/>
    <col min="14094" max="14094" width="9.33203125" style="514" customWidth="1"/>
    <col min="14095" max="14095" width="12.6640625" style="514" customWidth="1"/>
    <col min="14096" max="14096" width="11" style="514" customWidth="1"/>
    <col min="14097" max="14097" width="12.88671875" style="514" customWidth="1"/>
    <col min="14098" max="14098" width="11.109375" style="514" customWidth="1"/>
    <col min="14099" max="14099" width="11" style="514" customWidth="1"/>
    <col min="14100" max="14101" width="13.109375" style="514" customWidth="1"/>
    <col min="14102" max="14103" width="8.44140625" style="514" customWidth="1"/>
    <col min="14104" max="14104" width="11.44140625" style="514" customWidth="1"/>
    <col min="14105" max="14105" width="14.5546875" style="514" customWidth="1"/>
    <col min="14106" max="14334" width="9.109375" style="514"/>
    <col min="14335" max="14335" width="8" style="514" customWidth="1"/>
    <col min="14336" max="14336" width="26.33203125" style="514" customWidth="1"/>
    <col min="14337" max="14337" width="13.109375" style="514" customWidth="1"/>
    <col min="14338" max="14338" width="10.88671875" style="514" customWidth="1"/>
    <col min="14339" max="14339" width="14.5546875" style="514" customWidth="1"/>
    <col min="14340" max="14340" width="12.88671875" style="514" customWidth="1"/>
    <col min="14341" max="14341" width="10.109375" style="514" customWidth="1"/>
    <col min="14342" max="14343" width="10.33203125" style="514" customWidth="1"/>
    <col min="14344" max="14345" width="7.109375" style="514" customWidth="1"/>
    <col min="14346" max="14346" width="12.5546875" style="514" customWidth="1"/>
    <col min="14347" max="14347" width="9.5546875" style="514" customWidth="1"/>
    <col min="14348" max="14348" width="13.109375" style="514" customWidth="1"/>
    <col min="14349" max="14349" width="12.5546875" style="514" customWidth="1"/>
    <col min="14350" max="14350" width="9.33203125" style="514" customWidth="1"/>
    <col min="14351" max="14351" width="12.6640625" style="514" customWidth="1"/>
    <col min="14352" max="14352" width="11" style="514" customWidth="1"/>
    <col min="14353" max="14353" width="12.88671875" style="514" customWidth="1"/>
    <col min="14354" max="14354" width="11.109375" style="514" customWidth="1"/>
    <col min="14355" max="14355" width="11" style="514" customWidth="1"/>
    <col min="14356" max="14357" width="13.109375" style="514" customWidth="1"/>
    <col min="14358" max="14359" width="8.44140625" style="514" customWidth="1"/>
    <col min="14360" max="14360" width="11.44140625" style="514" customWidth="1"/>
    <col min="14361" max="14361" width="14.5546875" style="514" customWidth="1"/>
    <col min="14362" max="14590" width="9.109375" style="514"/>
    <col min="14591" max="14591" width="8" style="514" customWidth="1"/>
    <col min="14592" max="14592" width="26.33203125" style="514" customWidth="1"/>
    <col min="14593" max="14593" width="13.109375" style="514" customWidth="1"/>
    <col min="14594" max="14594" width="10.88671875" style="514" customWidth="1"/>
    <col min="14595" max="14595" width="14.5546875" style="514" customWidth="1"/>
    <col min="14596" max="14596" width="12.88671875" style="514" customWidth="1"/>
    <col min="14597" max="14597" width="10.109375" style="514" customWidth="1"/>
    <col min="14598" max="14599" width="10.33203125" style="514" customWidth="1"/>
    <col min="14600" max="14601" width="7.109375" style="514" customWidth="1"/>
    <col min="14602" max="14602" width="12.5546875" style="514" customWidth="1"/>
    <col min="14603" max="14603" width="9.5546875" style="514" customWidth="1"/>
    <col min="14604" max="14604" width="13.109375" style="514" customWidth="1"/>
    <col min="14605" max="14605" width="12.5546875" style="514" customWidth="1"/>
    <col min="14606" max="14606" width="9.33203125" style="514" customWidth="1"/>
    <col min="14607" max="14607" width="12.6640625" style="514" customWidth="1"/>
    <col min="14608" max="14608" width="11" style="514" customWidth="1"/>
    <col min="14609" max="14609" width="12.88671875" style="514" customWidth="1"/>
    <col min="14610" max="14610" width="11.109375" style="514" customWidth="1"/>
    <col min="14611" max="14611" width="11" style="514" customWidth="1"/>
    <col min="14612" max="14613" width="13.109375" style="514" customWidth="1"/>
    <col min="14614" max="14615" width="8.44140625" style="514" customWidth="1"/>
    <col min="14616" max="14616" width="11.44140625" style="514" customWidth="1"/>
    <col min="14617" max="14617" width="14.5546875" style="514" customWidth="1"/>
    <col min="14618" max="14846" width="9.109375" style="514"/>
    <col min="14847" max="14847" width="8" style="514" customWidth="1"/>
    <col min="14848" max="14848" width="26.33203125" style="514" customWidth="1"/>
    <col min="14849" max="14849" width="13.109375" style="514" customWidth="1"/>
    <col min="14850" max="14850" width="10.88671875" style="514" customWidth="1"/>
    <col min="14851" max="14851" width="14.5546875" style="514" customWidth="1"/>
    <col min="14852" max="14852" width="12.88671875" style="514" customWidth="1"/>
    <col min="14853" max="14853" width="10.109375" style="514" customWidth="1"/>
    <col min="14854" max="14855" width="10.33203125" style="514" customWidth="1"/>
    <col min="14856" max="14857" width="7.109375" style="514" customWidth="1"/>
    <col min="14858" max="14858" width="12.5546875" style="514" customWidth="1"/>
    <col min="14859" max="14859" width="9.5546875" style="514" customWidth="1"/>
    <col min="14860" max="14860" width="13.109375" style="514" customWidth="1"/>
    <col min="14861" max="14861" width="12.5546875" style="514" customWidth="1"/>
    <col min="14862" max="14862" width="9.33203125" style="514" customWidth="1"/>
    <col min="14863" max="14863" width="12.6640625" style="514" customWidth="1"/>
    <col min="14864" max="14864" width="11" style="514" customWidth="1"/>
    <col min="14865" max="14865" width="12.88671875" style="514" customWidth="1"/>
    <col min="14866" max="14866" width="11.109375" style="514" customWidth="1"/>
    <col min="14867" max="14867" width="11" style="514" customWidth="1"/>
    <col min="14868" max="14869" width="13.109375" style="514" customWidth="1"/>
    <col min="14870" max="14871" width="8.44140625" style="514" customWidth="1"/>
    <col min="14872" max="14872" width="11.44140625" style="514" customWidth="1"/>
    <col min="14873" max="14873" width="14.5546875" style="514" customWidth="1"/>
    <col min="14874" max="15102" width="9.109375" style="514"/>
    <col min="15103" max="15103" width="8" style="514" customWidth="1"/>
    <col min="15104" max="15104" width="26.33203125" style="514" customWidth="1"/>
    <col min="15105" max="15105" width="13.109375" style="514" customWidth="1"/>
    <col min="15106" max="15106" width="10.88671875" style="514" customWidth="1"/>
    <col min="15107" max="15107" width="14.5546875" style="514" customWidth="1"/>
    <col min="15108" max="15108" width="12.88671875" style="514" customWidth="1"/>
    <col min="15109" max="15109" width="10.109375" style="514" customWidth="1"/>
    <col min="15110" max="15111" width="10.33203125" style="514" customWidth="1"/>
    <col min="15112" max="15113" width="7.109375" style="514" customWidth="1"/>
    <col min="15114" max="15114" width="12.5546875" style="514" customWidth="1"/>
    <col min="15115" max="15115" width="9.5546875" style="514" customWidth="1"/>
    <col min="15116" max="15116" width="13.109375" style="514" customWidth="1"/>
    <col min="15117" max="15117" width="12.5546875" style="514" customWidth="1"/>
    <col min="15118" max="15118" width="9.33203125" style="514" customWidth="1"/>
    <col min="15119" max="15119" width="12.6640625" style="514" customWidth="1"/>
    <col min="15120" max="15120" width="11" style="514" customWidth="1"/>
    <col min="15121" max="15121" width="12.88671875" style="514" customWidth="1"/>
    <col min="15122" max="15122" width="11.109375" style="514" customWidth="1"/>
    <col min="15123" max="15123" width="11" style="514" customWidth="1"/>
    <col min="15124" max="15125" width="13.109375" style="514" customWidth="1"/>
    <col min="15126" max="15127" width="8.44140625" style="514" customWidth="1"/>
    <col min="15128" max="15128" width="11.44140625" style="514" customWidth="1"/>
    <col min="15129" max="15129" width="14.5546875" style="514" customWidth="1"/>
    <col min="15130" max="15358" width="9.109375" style="514"/>
    <col min="15359" max="15359" width="8" style="514" customWidth="1"/>
    <col min="15360" max="15360" width="26.33203125" style="514" customWidth="1"/>
    <col min="15361" max="15361" width="13.109375" style="514" customWidth="1"/>
    <col min="15362" max="15362" width="10.88671875" style="514" customWidth="1"/>
    <col min="15363" max="15363" width="14.5546875" style="514" customWidth="1"/>
    <col min="15364" max="15364" width="12.88671875" style="514" customWidth="1"/>
    <col min="15365" max="15365" width="10.109375" style="514" customWidth="1"/>
    <col min="15366" max="15367" width="10.33203125" style="514" customWidth="1"/>
    <col min="15368" max="15369" width="7.109375" style="514" customWidth="1"/>
    <col min="15370" max="15370" width="12.5546875" style="514" customWidth="1"/>
    <col min="15371" max="15371" width="9.5546875" style="514" customWidth="1"/>
    <col min="15372" max="15372" width="13.109375" style="514" customWidth="1"/>
    <col min="15373" max="15373" width="12.5546875" style="514" customWidth="1"/>
    <col min="15374" max="15374" width="9.33203125" style="514" customWidth="1"/>
    <col min="15375" max="15375" width="12.6640625" style="514" customWidth="1"/>
    <col min="15376" max="15376" width="11" style="514" customWidth="1"/>
    <col min="15377" max="15377" width="12.88671875" style="514" customWidth="1"/>
    <col min="15378" max="15378" width="11.109375" style="514" customWidth="1"/>
    <col min="15379" max="15379" width="11" style="514" customWidth="1"/>
    <col min="15380" max="15381" width="13.109375" style="514" customWidth="1"/>
    <col min="15382" max="15383" width="8.44140625" style="514" customWidth="1"/>
    <col min="15384" max="15384" width="11.44140625" style="514" customWidth="1"/>
    <col min="15385" max="15385" width="14.5546875" style="514" customWidth="1"/>
    <col min="15386" max="15614" width="9.109375" style="514"/>
    <col min="15615" max="15615" width="8" style="514" customWidth="1"/>
    <col min="15616" max="15616" width="26.33203125" style="514" customWidth="1"/>
    <col min="15617" max="15617" width="13.109375" style="514" customWidth="1"/>
    <col min="15618" max="15618" width="10.88671875" style="514" customWidth="1"/>
    <col min="15619" max="15619" width="14.5546875" style="514" customWidth="1"/>
    <col min="15620" max="15620" width="12.88671875" style="514" customWidth="1"/>
    <col min="15621" max="15621" width="10.109375" style="514" customWidth="1"/>
    <col min="15622" max="15623" width="10.33203125" style="514" customWidth="1"/>
    <col min="15624" max="15625" width="7.109375" style="514" customWidth="1"/>
    <col min="15626" max="15626" width="12.5546875" style="514" customWidth="1"/>
    <col min="15627" max="15627" width="9.5546875" style="514" customWidth="1"/>
    <col min="15628" max="15628" width="13.109375" style="514" customWidth="1"/>
    <col min="15629" max="15629" width="12.5546875" style="514" customWidth="1"/>
    <col min="15630" max="15630" width="9.33203125" style="514" customWidth="1"/>
    <col min="15631" max="15631" width="12.6640625" style="514" customWidth="1"/>
    <col min="15632" max="15632" width="11" style="514" customWidth="1"/>
    <col min="15633" max="15633" width="12.88671875" style="514" customWidth="1"/>
    <col min="15634" max="15634" width="11.109375" style="514" customWidth="1"/>
    <col min="15635" max="15635" width="11" style="514" customWidth="1"/>
    <col min="15636" max="15637" width="13.109375" style="514" customWidth="1"/>
    <col min="15638" max="15639" width="8.44140625" style="514" customWidth="1"/>
    <col min="15640" max="15640" width="11.44140625" style="514" customWidth="1"/>
    <col min="15641" max="15641" width="14.5546875" style="514" customWidth="1"/>
    <col min="15642" max="15870" width="9.109375" style="514"/>
    <col min="15871" max="15871" width="8" style="514" customWidth="1"/>
    <col min="15872" max="15872" width="26.33203125" style="514" customWidth="1"/>
    <col min="15873" max="15873" width="13.109375" style="514" customWidth="1"/>
    <col min="15874" max="15874" width="10.88671875" style="514" customWidth="1"/>
    <col min="15875" max="15875" width="14.5546875" style="514" customWidth="1"/>
    <col min="15876" max="15876" width="12.88671875" style="514" customWidth="1"/>
    <col min="15877" max="15877" width="10.109375" style="514" customWidth="1"/>
    <col min="15878" max="15879" width="10.33203125" style="514" customWidth="1"/>
    <col min="15880" max="15881" width="7.109375" style="514" customWidth="1"/>
    <col min="15882" max="15882" width="12.5546875" style="514" customWidth="1"/>
    <col min="15883" max="15883" width="9.5546875" style="514" customWidth="1"/>
    <col min="15884" max="15884" width="13.109375" style="514" customWidth="1"/>
    <col min="15885" max="15885" width="12.5546875" style="514" customWidth="1"/>
    <col min="15886" max="15886" width="9.33203125" style="514" customWidth="1"/>
    <col min="15887" max="15887" width="12.6640625" style="514" customWidth="1"/>
    <col min="15888" max="15888" width="11" style="514" customWidth="1"/>
    <col min="15889" max="15889" width="12.88671875" style="514" customWidth="1"/>
    <col min="15890" max="15890" width="11.109375" style="514" customWidth="1"/>
    <col min="15891" max="15891" width="11" style="514" customWidth="1"/>
    <col min="15892" max="15893" width="13.109375" style="514" customWidth="1"/>
    <col min="15894" max="15895" width="8.44140625" style="514" customWidth="1"/>
    <col min="15896" max="15896" width="11.44140625" style="514" customWidth="1"/>
    <col min="15897" max="15897" width="14.5546875" style="514" customWidth="1"/>
    <col min="15898" max="16126" width="9.109375" style="514"/>
    <col min="16127" max="16127" width="8" style="514" customWidth="1"/>
    <col min="16128" max="16128" width="26.33203125" style="514" customWidth="1"/>
    <col min="16129" max="16129" width="13.109375" style="514" customWidth="1"/>
    <col min="16130" max="16130" width="10.88671875" style="514" customWidth="1"/>
    <col min="16131" max="16131" width="14.5546875" style="514" customWidth="1"/>
    <col min="16132" max="16132" width="12.88671875" style="514" customWidth="1"/>
    <col min="16133" max="16133" width="10.109375" style="514" customWidth="1"/>
    <col min="16134" max="16135" width="10.33203125" style="514" customWidth="1"/>
    <col min="16136" max="16137" width="7.109375" style="514" customWidth="1"/>
    <col min="16138" max="16138" width="12.5546875" style="514" customWidth="1"/>
    <col min="16139" max="16139" width="9.5546875" style="514" customWidth="1"/>
    <col min="16140" max="16140" width="13.109375" style="514" customWidth="1"/>
    <col min="16141" max="16141" width="12.5546875" style="514" customWidth="1"/>
    <col min="16142" max="16142" width="9.33203125" style="514" customWidth="1"/>
    <col min="16143" max="16143" width="12.6640625" style="514" customWidth="1"/>
    <col min="16144" max="16144" width="11" style="514" customWidth="1"/>
    <col min="16145" max="16145" width="12.88671875" style="514" customWidth="1"/>
    <col min="16146" max="16146" width="11.109375" style="514" customWidth="1"/>
    <col min="16147" max="16147" width="11" style="514" customWidth="1"/>
    <col min="16148" max="16149" width="13.109375" style="514" customWidth="1"/>
    <col min="16150" max="16151" width="8.44140625" style="514" customWidth="1"/>
    <col min="16152" max="16152" width="11.44140625" style="514" customWidth="1"/>
    <col min="16153" max="16153" width="14.5546875" style="514" customWidth="1"/>
    <col min="16154" max="16384" width="9.109375" style="514"/>
  </cols>
  <sheetData>
    <row r="1" spans="1:28" ht="15" customHeight="1" x14ac:dyDescent="0.25">
      <c r="Q1" s="886" t="s">
        <v>998</v>
      </c>
      <c r="R1" s="886"/>
      <c r="S1" s="886"/>
      <c r="T1" s="886"/>
      <c r="U1" s="886"/>
      <c r="V1" s="886"/>
      <c r="W1" s="886"/>
      <c r="X1" s="886"/>
      <c r="Y1" s="886"/>
      <c r="Z1" s="886"/>
      <c r="AA1" s="886"/>
    </row>
    <row r="2" spans="1:28" ht="15" customHeight="1" x14ac:dyDescent="0.25">
      <c r="Q2" s="886" t="s">
        <v>887</v>
      </c>
      <c r="R2" s="886"/>
      <c r="S2" s="886"/>
      <c r="T2" s="886"/>
      <c r="U2" s="886"/>
      <c r="V2" s="886"/>
      <c r="W2" s="886"/>
      <c r="X2" s="886"/>
      <c r="Y2" s="886"/>
      <c r="Z2" s="886"/>
      <c r="AA2" s="886"/>
    </row>
    <row r="3" spans="1:28" ht="15" customHeight="1" x14ac:dyDescent="0.25">
      <c r="Q3" s="886" t="s">
        <v>1031</v>
      </c>
      <c r="R3" s="886"/>
      <c r="S3" s="886"/>
      <c r="T3" s="886"/>
      <c r="U3" s="886"/>
      <c r="V3" s="886"/>
      <c r="W3" s="886"/>
      <c r="X3" s="886"/>
      <c r="Y3" s="886"/>
      <c r="Z3" s="886"/>
      <c r="AA3" s="886"/>
    </row>
    <row r="4" spans="1:28" ht="15" customHeight="1" x14ac:dyDescent="0.25">
      <c r="Q4" s="886" t="s">
        <v>1563</v>
      </c>
      <c r="R4" s="886"/>
      <c r="S4" s="886"/>
      <c r="T4" s="886"/>
      <c r="U4" s="886"/>
      <c r="V4" s="886"/>
      <c r="W4" s="886"/>
      <c r="X4" s="886"/>
      <c r="Y4" s="886"/>
      <c r="Z4" s="886"/>
      <c r="AA4" s="886"/>
    </row>
    <row r="6" spans="1:28" ht="38.25" customHeight="1" x14ac:dyDescent="0.3">
      <c r="A6" s="978" t="s">
        <v>999</v>
      </c>
      <c r="B6" s="978"/>
      <c r="C6" s="978"/>
      <c r="D6" s="978"/>
      <c r="E6" s="978"/>
      <c r="F6" s="978"/>
      <c r="G6" s="978"/>
      <c r="H6" s="978"/>
      <c r="I6" s="978"/>
      <c r="J6" s="978"/>
      <c r="K6" s="978"/>
      <c r="L6" s="978"/>
      <c r="M6" s="978"/>
      <c r="N6" s="978"/>
      <c r="O6" s="978"/>
      <c r="P6" s="978"/>
      <c r="Q6" s="978"/>
      <c r="R6" s="978"/>
      <c r="S6" s="978"/>
      <c r="T6" s="978"/>
      <c r="U6" s="978"/>
      <c r="V6" s="978"/>
      <c r="W6" s="978"/>
      <c r="X6" s="978"/>
      <c r="Y6" s="978"/>
      <c r="Z6" s="978"/>
      <c r="AA6" s="978"/>
    </row>
    <row r="7" spans="1:28" ht="21.75" customHeight="1" x14ac:dyDescent="0.3">
      <c r="A7" s="977" t="s">
        <v>1000</v>
      </c>
      <c r="B7" s="977"/>
      <c r="C7" s="977"/>
      <c r="D7" s="977"/>
      <c r="E7" s="977"/>
      <c r="F7" s="977"/>
      <c r="G7" s="977"/>
      <c r="H7" s="977"/>
      <c r="I7" s="977"/>
      <c r="J7" s="977"/>
      <c r="K7" s="977"/>
      <c r="L7" s="977"/>
      <c r="M7" s="977"/>
      <c r="N7" s="977"/>
      <c r="O7" s="977"/>
      <c r="P7" s="977"/>
      <c r="Q7" s="977"/>
      <c r="R7" s="977"/>
      <c r="S7" s="977"/>
      <c r="T7" s="977"/>
      <c r="U7" s="977"/>
      <c r="V7" s="977"/>
      <c r="W7" s="977"/>
      <c r="X7" s="977"/>
      <c r="Y7" s="977"/>
      <c r="Z7" s="977"/>
      <c r="AA7" s="977"/>
    </row>
    <row r="8" spans="1:28" ht="21.75" customHeight="1" x14ac:dyDescent="0.3">
      <c r="A8" s="977" t="s">
        <v>1036</v>
      </c>
      <c r="B8" s="977"/>
      <c r="C8" s="977"/>
      <c r="D8" s="977"/>
      <c r="E8" s="977"/>
      <c r="F8" s="977"/>
      <c r="G8" s="977"/>
      <c r="H8" s="977"/>
      <c r="I8" s="977"/>
      <c r="J8" s="977"/>
      <c r="K8" s="977"/>
      <c r="L8" s="977"/>
      <c r="M8" s="977"/>
      <c r="N8" s="977"/>
      <c r="O8" s="977"/>
      <c r="P8" s="977"/>
      <c r="Q8" s="977"/>
      <c r="R8" s="977"/>
      <c r="S8" s="977"/>
      <c r="T8" s="977"/>
      <c r="U8" s="977"/>
      <c r="V8" s="977"/>
      <c r="W8" s="977"/>
      <c r="X8" s="977"/>
      <c r="Y8" s="977"/>
      <c r="Z8" s="977"/>
      <c r="AA8" s="977"/>
    </row>
    <row r="9" spans="1:28" ht="16.2" thickBot="1" x14ac:dyDescent="0.35">
      <c r="A9" s="979"/>
      <c r="B9" s="979"/>
      <c r="C9" s="584"/>
      <c r="D9" s="584"/>
      <c r="E9" s="585"/>
      <c r="F9" s="585"/>
      <c r="G9" s="585"/>
      <c r="H9" s="585"/>
      <c r="I9" s="585"/>
      <c r="J9" s="585"/>
      <c r="K9" s="585"/>
      <c r="L9" s="586"/>
      <c r="M9" s="587"/>
      <c r="N9" s="587"/>
      <c r="O9" s="587"/>
      <c r="P9" s="587"/>
      <c r="Q9" s="587"/>
      <c r="R9" s="587"/>
      <c r="S9" s="588"/>
      <c r="T9" s="589"/>
      <c r="U9" s="589"/>
      <c r="V9" s="589"/>
      <c r="W9" s="589"/>
      <c r="X9" s="589"/>
      <c r="Y9" s="589"/>
      <c r="Z9" s="494" t="s">
        <v>1001</v>
      </c>
      <c r="AA9" s="588"/>
    </row>
    <row r="10" spans="1:28" ht="33.75" customHeight="1" x14ac:dyDescent="0.3">
      <c r="A10" s="980" t="s">
        <v>618</v>
      </c>
      <c r="B10" s="983" t="s">
        <v>1002</v>
      </c>
      <c r="C10" s="983" t="s">
        <v>1003</v>
      </c>
      <c r="D10" s="983" t="s">
        <v>1004</v>
      </c>
      <c r="E10" s="986" t="s">
        <v>1005</v>
      </c>
      <c r="F10" s="986"/>
      <c r="G10" s="987" t="s">
        <v>1119</v>
      </c>
      <c r="H10" s="990" t="s">
        <v>1116</v>
      </c>
      <c r="I10" s="991"/>
      <c r="J10" s="990" t="s">
        <v>1121</v>
      </c>
      <c r="K10" s="992"/>
      <c r="L10" s="1001" t="s">
        <v>1117</v>
      </c>
      <c r="M10" s="990" t="s">
        <v>110</v>
      </c>
      <c r="N10" s="1003"/>
      <c r="O10" s="1003"/>
      <c r="P10" s="992"/>
      <c r="Q10" s="1001" t="s">
        <v>1006</v>
      </c>
      <c r="R10" s="990" t="s">
        <v>110</v>
      </c>
      <c r="S10" s="1003"/>
      <c r="T10" s="1003"/>
      <c r="U10" s="992"/>
      <c r="V10" s="990" t="s">
        <v>1525</v>
      </c>
      <c r="W10" s="992"/>
      <c r="X10" s="990" t="s">
        <v>1524</v>
      </c>
      <c r="Y10" s="992"/>
      <c r="Z10" s="987" t="s">
        <v>1119</v>
      </c>
      <c r="AA10" s="997" t="s">
        <v>1120</v>
      </c>
    </row>
    <row r="11" spans="1:28" s="453" customFormat="1" x14ac:dyDescent="0.25">
      <c r="A11" s="981"/>
      <c r="B11" s="984"/>
      <c r="C11" s="984"/>
      <c r="D11" s="984"/>
      <c r="E11" s="1000" t="s">
        <v>1007</v>
      </c>
      <c r="F11" s="1000" t="s">
        <v>1008</v>
      </c>
      <c r="G11" s="988"/>
      <c r="H11" s="995" t="s">
        <v>1007</v>
      </c>
      <c r="I11" s="995" t="s">
        <v>1008</v>
      </c>
      <c r="J11" s="995" t="s">
        <v>1009</v>
      </c>
      <c r="K11" s="995" t="s">
        <v>1010</v>
      </c>
      <c r="L11" s="1002"/>
      <c r="M11" s="993" t="s">
        <v>863</v>
      </c>
      <c r="N11" s="993" t="s">
        <v>319</v>
      </c>
      <c r="O11" s="993" t="s">
        <v>312</v>
      </c>
      <c r="P11" s="993" t="s">
        <v>1011</v>
      </c>
      <c r="Q11" s="1002"/>
      <c r="R11" s="993" t="s">
        <v>863</v>
      </c>
      <c r="S11" s="993" t="s">
        <v>319</v>
      </c>
      <c r="T11" s="993" t="s">
        <v>312</v>
      </c>
      <c r="U11" s="993" t="s">
        <v>1011</v>
      </c>
      <c r="V11" s="993" t="s">
        <v>1012</v>
      </c>
      <c r="W11" s="993" t="s">
        <v>1013</v>
      </c>
      <c r="X11" s="995" t="s">
        <v>1009</v>
      </c>
      <c r="Y11" s="995" t="s">
        <v>1010</v>
      </c>
      <c r="Z11" s="988"/>
      <c r="AA11" s="998"/>
    </row>
    <row r="12" spans="1:28" s="453" customFormat="1" ht="90.75" customHeight="1" x14ac:dyDescent="0.25">
      <c r="A12" s="982"/>
      <c r="B12" s="985"/>
      <c r="C12" s="985"/>
      <c r="D12" s="985"/>
      <c r="E12" s="1000"/>
      <c r="F12" s="1000"/>
      <c r="G12" s="989"/>
      <c r="H12" s="996"/>
      <c r="I12" s="996"/>
      <c r="J12" s="996"/>
      <c r="K12" s="996"/>
      <c r="L12" s="994"/>
      <c r="M12" s="994"/>
      <c r="N12" s="994"/>
      <c r="O12" s="989"/>
      <c r="P12" s="994"/>
      <c r="Q12" s="994"/>
      <c r="R12" s="994"/>
      <c r="S12" s="994"/>
      <c r="T12" s="989"/>
      <c r="U12" s="994"/>
      <c r="V12" s="994"/>
      <c r="W12" s="994"/>
      <c r="X12" s="996"/>
      <c r="Y12" s="996"/>
      <c r="Z12" s="989"/>
      <c r="AA12" s="999"/>
    </row>
    <row r="13" spans="1:28" s="453" customFormat="1" x14ac:dyDescent="0.25">
      <c r="A13" s="590">
        <v>1</v>
      </c>
      <c r="B13" s="591">
        <v>2</v>
      </c>
      <c r="C13" s="591">
        <v>3</v>
      </c>
      <c r="D13" s="591">
        <v>4</v>
      </c>
      <c r="E13" s="591">
        <v>5</v>
      </c>
      <c r="F13" s="591">
        <v>6</v>
      </c>
      <c r="G13" s="591">
        <v>7</v>
      </c>
      <c r="H13" s="591">
        <v>8</v>
      </c>
      <c r="I13" s="591">
        <v>9</v>
      </c>
      <c r="J13" s="591">
        <v>10</v>
      </c>
      <c r="K13" s="591">
        <v>11</v>
      </c>
      <c r="L13" s="591">
        <v>12</v>
      </c>
      <c r="M13" s="591">
        <v>13</v>
      </c>
      <c r="N13" s="591">
        <v>14</v>
      </c>
      <c r="O13" s="591">
        <v>15</v>
      </c>
      <c r="P13" s="591">
        <v>16</v>
      </c>
      <c r="Q13" s="591">
        <v>17</v>
      </c>
      <c r="R13" s="591">
        <v>18</v>
      </c>
      <c r="S13" s="591">
        <v>19</v>
      </c>
      <c r="T13" s="591">
        <v>20</v>
      </c>
      <c r="U13" s="591">
        <v>21</v>
      </c>
      <c r="V13" s="591">
        <v>22</v>
      </c>
      <c r="W13" s="591">
        <v>23</v>
      </c>
      <c r="X13" s="591">
        <v>24</v>
      </c>
      <c r="Y13" s="591">
        <v>25</v>
      </c>
      <c r="Z13" s="591">
        <v>26</v>
      </c>
      <c r="AA13" s="592">
        <v>27</v>
      </c>
    </row>
    <row r="14" spans="1:28" s="453" customFormat="1" ht="66" x14ac:dyDescent="0.25">
      <c r="A14" s="593">
        <v>1</v>
      </c>
      <c r="B14" s="538" t="s">
        <v>949</v>
      </c>
      <c r="C14" s="594" t="s">
        <v>1014</v>
      </c>
      <c r="D14" s="594" t="s">
        <v>1015</v>
      </c>
      <c r="E14" s="595">
        <v>185004310</v>
      </c>
      <c r="F14" s="595">
        <v>185004310</v>
      </c>
      <c r="G14" s="594">
        <v>100</v>
      </c>
      <c r="H14" s="595">
        <v>1930362.58</v>
      </c>
      <c r="I14" s="595">
        <v>1930362.58</v>
      </c>
      <c r="J14" s="594">
        <v>0</v>
      </c>
      <c r="K14" s="594">
        <v>0</v>
      </c>
      <c r="L14" s="595">
        <v>1930362.58</v>
      </c>
      <c r="M14" s="596" t="s">
        <v>1016</v>
      </c>
      <c r="N14" s="595">
        <v>1930362.58</v>
      </c>
      <c r="O14" s="597">
        <v>0</v>
      </c>
      <c r="P14" s="597">
        <v>0</v>
      </c>
      <c r="Q14" s="598">
        <v>1907671.93</v>
      </c>
      <c r="R14" s="597">
        <v>0</v>
      </c>
      <c r="S14" s="598">
        <v>1907671.93</v>
      </c>
      <c r="T14" s="597">
        <v>0</v>
      </c>
      <c r="U14" s="597">
        <v>0</v>
      </c>
      <c r="V14" s="599">
        <f>183073947.42+W14</f>
        <v>184981619.34999999</v>
      </c>
      <c r="W14" s="598">
        <v>1907671.93</v>
      </c>
      <c r="X14" s="599">
        <v>0</v>
      </c>
      <c r="Y14" s="599">
        <v>0</v>
      </c>
      <c r="Z14" s="600">
        <v>100</v>
      </c>
      <c r="AA14" s="601"/>
      <c r="AB14" s="610"/>
    </row>
    <row r="15" spans="1:28" s="453" customFormat="1" ht="66" x14ac:dyDescent="0.25">
      <c r="A15" s="593">
        <v>1</v>
      </c>
      <c r="B15" s="538" t="s">
        <v>1017</v>
      </c>
      <c r="C15" s="594" t="s">
        <v>1118</v>
      </c>
      <c r="D15" s="591" t="s">
        <v>1018</v>
      </c>
      <c r="E15" s="734">
        <v>92180470</v>
      </c>
      <c r="F15" s="734">
        <v>92180470</v>
      </c>
      <c r="G15" s="594">
        <v>0</v>
      </c>
      <c r="H15" s="595">
        <f>E15-2356907.18</f>
        <v>89823562.819999993</v>
      </c>
      <c r="I15" s="595">
        <f>H15</f>
        <v>89823562.819999993</v>
      </c>
      <c r="J15" s="595">
        <v>0</v>
      </c>
      <c r="K15" s="595">
        <v>2356907.38</v>
      </c>
      <c r="L15" s="596">
        <f>SUM(M15:O15)</f>
        <v>84188279.609999999</v>
      </c>
      <c r="M15" s="596">
        <v>0</v>
      </c>
      <c r="N15" s="735">
        <v>84124012.730000004</v>
      </c>
      <c r="O15" s="735">
        <v>64266.879999999997</v>
      </c>
      <c r="P15" s="597">
        <v>0</v>
      </c>
      <c r="Q15" s="597">
        <f>SUM(R15:T15)</f>
        <v>4096112.05</v>
      </c>
      <c r="R15" s="597">
        <v>0</v>
      </c>
      <c r="S15" s="735">
        <v>4096112.05</v>
      </c>
      <c r="T15" s="597">
        <v>0</v>
      </c>
      <c r="U15" s="597">
        <v>0</v>
      </c>
      <c r="V15" s="599">
        <f>W15+2356907.38</f>
        <v>4735071.58</v>
      </c>
      <c r="W15" s="599">
        <f>Q15-1717947.85</f>
        <v>2378164.1999999997</v>
      </c>
      <c r="X15" s="599">
        <v>0</v>
      </c>
      <c r="Y15" s="599">
        <v>1717947.85</v>
      </c>
      <c r="Z15" s="600">
        <v>0</v>
      </c>
      <c r="AA15" s="601">
        <f>Q15+2356907.38</f>
        <v>6453019.4299999997</v>
      </c>
    </row>
    <row r="16" spans="1:28" s="453" customFormat="1" ht="16.2" thickBot="1" x14ac:dyDescent="0.35">
      <c r="A16" s="1004" t="s">
        <v>920</v>
      </c>
      <c r="B16" s="1005"/>
      <c r="C16" s="602" t="s">
        <v>1019</v>
      </c>
      <c r="D16" s="602" t="s">
        <v>1019</v>
      </c>
      <c r="E16" s="603"/>
      <c r="F16" s="603"/>
      <c r="G16" s="603" t="s">
        <v>1019</v>
      </c>
      <c r="H16" s="603"/>
      <c r="I16" s="603"/>
      <c r="J16" s="603"/>
      <c r="K16" s="603"/>
      <c r="L16" s="604"/>
      <c r="M16" s="605"/>
      <c r="N16" s="605"/>
      <c r="O16" s="605"/>
      <c r="P16" s="605"/>
      <c r="Q16" s="605"/>
      <c r="R16" s="605"/>
      <c r="S16" s="606"/>
      <c r="T16" s="602"/>
      <c r="U16" s="602"/>
      <c r="V16" s="602"/>
      <c r="W16" s="602"/>
      <c r="X16" s="602"/>
      <c r="Y16" s="602"/>
      <c r="Z16" s="602" t="s">
        <v>1019</v>
      </c>
      <c r="AA16" s="607"/>
    </row>
    <row r="17" spans="1:27" s="583" customFormat="1" x14ac:dyDescent="0.25">
      <c r="A17" s="608"/>
      <c r="B17" s="608"/>
      <c r="C17" s="608"/>
      <c r="D17" s="608"/>
      <c r="E17" s="609"/>
      <c r="F17" s="609"/>
      <c r="G17" s="609"/>
      <c r="H17" s="609"/>
      <c r="I17" s="609"/>
      <c r="J17" s="609"/>
      <c r="K17" s="609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453"/>
      <c r="Y17" s="453"/>
      <c r="Z17" s="453"/>
      <c r="AA17" s="453"/>
    </row>
    <row r="18" spans="1:27" s="583" customFormat="1" x14ac:dyDescent="0.25">
      <c r="A18" s="608"/>
      <c r="B18" s="608"/>
      <c r="C18" s="608"/>
      <c r="D18" s="608"/>
      <c r="E18" s="609"/>
      <c r="F18" s="609"/>
      <c r="G18" s="609"/>
      <c r="H18" s="609"/>
      <c r="I18" s="609"/>
      <c r="J18" s="609"/>
      <c r="K18" s="609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  <c r="AA18" s="453"/>
    </row>
    <row r="19" spans="1:27" s="583" customFormat="1" x14ac:dyDescent="0.25">
      <c r="A19" s="608"/>
      <c r="B19" s="608"/>
      <c r="C19" s="608"/>
      <c r="D19" s="608"/>
      <c r="E19" s="609"/>
      <c r="F19" s="611"/>
      <c r="G19" s="609"/>
      <c r="H19" s="609"/>
      <c r="I19" s="609"/>
      <c r="J19" s="609"/>
      <c r="K19" s="609"/>
      <c r="M19" s="453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  <c r="AA19" s="453"/>
    </row>
    <row r="20" spans="1:27" s="583" customFormat="1" x14ac:dyDescent="0.25">
      <c r="A20" s="608"/>
      <c r="B20" s="608"/>
      <c r="C20" s="608"/>
      <c r="D20" s="608"/>
      <c r="E20" s="609"/>
      <c r="F20" s="609"/>
      <c r="G20" s="609"/>
      <c r="H20" s="609"/>
      <c r="I20" s="609"/>
      <c r="J20" s="609"/>
      <c r="K20" s="609"/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  <c r="AA20" s="453"/>
    </row>
    <row r="21" spans="1:27" s="583" customFormat="1" x14ac:dyDescent="0.25">
      <c r="A21" s="608"/>
      <c r="B21" s="608"/>
      <c r="C21" s="608"/>
      <c r="D21" s="608"/>
      <c r="E21" s="609"/>
      <c r="F21" s="609"/>
      <c r="G21" s="609"/>
      <c r="H21" s="609"/>
      <c r="I21" s="609"/>
      <c r="J21" s="609"/>
      <c r="K21" s="609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</row>
    <row r="22" spans="1:27" s="583" customFormat="1" x14ac:dyDescent="0.25">
      <c r="A22" s="608"/>
      <c r="B22" s="608"/>
      <c r="C22" s="608"/>
      <c r="D22" s="608"/>
      <c r="E22" s="609"/>
      <c r="F22" s="609"/>
      <c r="G22" s="609"/>
      <c r="H22" s="609"/>
      <c r="I22" s="609"/>
      <c r="J22" s="609"/>
      <c r="K22" s="609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  <c r="AA22" s="453"/>
    </row>
    <row r="23" spans="1:27" s="583" customFormat="1" x14ac:dyDescent="0.25">
      <c r="A23" s="608"/>
      <c r="B23" s="608"/>
      <c r="C23" s="608"/>
      <c r="D23" s="608"/>
      <c r="E23" s="609"/>
      <c r="F23" s="609"/>
      <c r="G23" s="609"/>
      <c r="H23" s="609"/>
      <c r="I23" s="609"/>
      <c r="J23" s="609"/>
      <c r="K23" s="609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3"/>
      <c r="Z23" s="453"/>
      <c r="AA23" s="453"/>
    </row>
    <row r="24" spans="1:27" s="583" customFormat="1" x14ac:dyDescent="0.25">
      <c r="A24" s="608"/>
      <c r="B24" s="608"/>
      <c r="C24" s="608"/>
      <c r="D24" s="608"/>
      <c r="E24" s="609"/>
      <c r="F24" s="609"/>
      <c r="G24" s="609"/>
      <c r="H24" s="609"/>
      <c r="I24" s="609"/>
      <c r="J24" s="609"/>
      <c r="K24" s="609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  <c r="AA24" s="453"/>
    </row>
    <row r="25" spans="1:27" s="583" customFormat="1" x14ac:dyDescent="0.25">
      <c r="A25" s="608"/>
      <c r="B25" s="608"/>
      <c r="C25" s="608"/>
      <c r="D25" s="608"/>
      <c r="E25" s="609"/>
      <c r="F25" s="609"/>
      <c r="G25" s="609"/>
      <c r="H25" s="609"/>
      <c r="I25" s="609"/>
      <c r="J25" s="609"/>
      <c r="K25" s="609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  <c r="AA25" s="453"/>
    </row>
    <row r="26" spans="1:27" s="583" customFormat="1" x14ac:dyDescent="0.25">
      <c r="A26" s="608"/>
      <c r="B26" s="608"/>
      <c r="C26" s="608"/>
      <c r="D26" s="608"/>
      <c r="E26" s="609"/>
      <c r="F26" s="609"/>
      <c r="G26" s="609"/>
      <c r="H26" s="609"/>
      <c r="I26" s="609"/>
      <c r="J26" s="609"/>
      <c r="K26" s="609"/>
      <c r="M26" s="453"/>
      <c r="N26" s="453"/>
      <c r="O26" s="453"/>
      <c r="P26" s="453"/>
      <c r="Q26" s="453"/>
      <c r="R26" s="453"/>
      <c r="S26" s="453"/>
      <c r="T26" s="453"/>
      <c r="U26" s="453"/>
      <c r="V26" s="453"/>
      <c r="W26" s="453"/>
      <c r="X26" s="453"/>
      <c r="Y26" s="453"/>
      <c r="Z26" s="453"/>
      <c r="AA26" s="453"/>
    </row>
    <row r="27" spans="1:27" s="583" customFormat="1" x14ac:dyDescent="0.25">
      <c r="A27" s="608"/>
      <c r="B27" s="608"/>
      <c r="C27" s="608"/>
      <c r="D27" s="608"/>
      <c r="E27" s="609"/>
      <c r="F27" s="609"/>
      <c r="G27" s="609"/>
      <c r="H27" s="609"/>
      <c r="I27" s="609"/>
      <c r="J27" s="609"/>
      <c r="K27" s="609"/>
      <c r="M27" s="453"/>
      <c r="N27" s="453"/>
      <c r="O27" s="453"/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  <c r="AA27" s="453"/>
    </row>
    <row r="28" spans="1:27" s="583" customFormat="1" x14ac:dyDescent="0.25">
      <c r="A28" s="608"/>
      <c r="B28" s="608"/>
      <c r="C28" s="608"/>
      <c r="D28" s="608"/>
      <c r="E28" s="609"/>
      <c r="F28" s="609"/>
      <c r="G28" s="609"/>
      <c r="H28" s="609"/>
      <c r="I28" s="609"/>
      <c r="J28" s="609"/>
      <c r="K28" s="609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</row>
    <row r="29" spans="1:27" s="583" customFormat="1" x14ac:dyDescent="0.25">
      <c r="A29" s="608"/>
      <c r="B29" s="608"/>
      <c r="C29" s="608"/>
      <c r="D29" s="608"/>
      <c r="E29" s="609"/>
      <c r="F29" s="609"/>
      <c r="G29" s="609"/>
      <c r="H29" s="609"/>
      <c r="I29" s="609"/>
      <c r="J29" s="609"/>
      <c r="K29" s="609"/>
      <c r="M29" s="453"/>
      <c r="N29" s="453"/>
      <c r="O29" s="453"/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  <c r="AA29" s="453"/>
    </row>
    <row r="30" spans="1:27" s="583" customFormat="1" x14ac:dyDescent="0.25">
      <c r="A30" s="608"/>
      <c r="B30" s="608"/>
      <c r="C30" s="608"/>
      <c r="D30" s="608"/>
      <c r="E30" s="609"/>
      <c r="F30" s="609"/>
      <c r="G30" s="609"/>
      <c r="H30" s="609"/>
      <c r="I30" s="609"/>
      <c r="J30" s="609"/>
      <c r="K30" s="609"/>
      <c r="M30" s="453"/>
      <c r="N30" s="453"/>
      <c r="O30" s="453"/>
      <c r="P30" s="453"/>
      <c r="Q30" s="453"/>
      <c r="R30" s="453"/>
      <c r="S30" s="453"/>
      <c r="T30" s="453"/>
      <c r="U30" s="453"/>
      <c r="V30" s="453"/>
      <c r="W30" s="453"/>
      <c r="X30" s="453"/>
      <c r="Y30" s="453"/>
      <c r="Z30" s="453"/>
      <c r="AA30" s="453"/>
    </row>
    <row r="31" spans="1:27" s="583" customFormat="1" x14ac:dyDescent="0.25">
      <c r="A31" s="608"/>
      <c r="B31" s="608"/>
      <c r="C31" s="608"/>
      <c r="D31" s="608"/>
      <c r="E31" s="609"/>
      <c r="F31" s="609"/>
      <c r="G31" s="609"/>
      <c r="H31" s="609"/>
      <c r="I31" s="609"/>
      <c r="J31" s="609"/>
      <c r="K31" s="609"/>
      <c r="M31" s="453"/>
      <c r="N31" s="453"/>
      <c r="O31" s="453"/>
      <c r="P31" s="453"/>
      <c r="Q31" s="453"/>
      <c r="R31" s="453"/>
      <c r="S31" s="453"/>
      <c r="T31" s="453"/>
      <c r="U31" s="453"/>
      <c r="V31" s="453"/>
      <c r="W31" s="453"/>
      <c r="X31" s="453"/>
      <c r="Y31" s="453"/>
      <c r="Z31" s="453"/>
      <c r="AA31" s="453"/>
    </row>
    <row r="32" spans="1:27" s="583" customFormat="1" x14ac:dyDescent="0.25">
      <c r="A32" s="608"/>
      <c r="B32" s="608"/>
      <c r="C32" s="608"/>
      <c r="D32" s="608"/>
      <c r="E32" s="609"/>
      <c r="F32" s="609"/>
      <c r="G32" s="609"/>
      <c r="H32" s="609"/>
      <c r="I32" s="609"/>
      <c r="J32" s="609"/>
      <c r="K32" s="609"/>
      <c r="M32" s="453"/>
      <c r="N32" s="453"/>
      <c r="O32" s="453"/>
      <c r="P32" s="453"/>
      <c r="Q32" s="453"/>
      <c r="R32" s="453"/>
      <c r="S32" s="453"/>
      <c r="T32" s="453"/>
      <c r="U32" s="453"/>
      <c r="V32" s="453"/>
      <c r="W32" s="453"/>
      <c r="X32" s="453"/>
      <c r="Y32" s="453"/>
      <c r="Z32" s="453"/>
      <c r="AA32" s="453"/>
    </row>
    <row r="33" spans="1:27" s="583" customFormat="1" x14ac:dyDescent="0.25">
      <c r="A33" s="608"/>
      <c r="B33" s="608"/>
      <c r="C33" s="608"/>
      <c r="D33" s="608"/>
      <c r="E33" s="609"/>
      <c r="F33" s="609"/>
      <c r="G33" s="609"/>
      <c r="H33" s="609"/>
      <c r="I33" s="609"/>
      <c r="J33" s="609"/>
      <c r="K33" s="609"/>
      <c r="M33" s="453"/>
      <c r="N33" s="453"/>
      <c r="O33" s="453"/>
      <c r="P33" s="453"/>
      <c r="Q33" s="453"/>
      <c r="R33" s="453"/>
      <c r="S33" s="453"/>
      <c r="T33" s="453"/>
      <c r="U33" s="453"/>
      <c r="V33" s="453"/>
      <c r="W33" s="453"/>
      <c r="X33" s="453"/>
      <c r="Y33" s="453"/>
      <c r="Z33" s="453"/>
      <c r="AA33" s="453"/>
    </row>
    <row r="34" spans="1:27" s="583" customFormat="1" x14ac:dyDescent="0.25">
      <c r="A34" s="608"/>
      <c r="B34" s="608"/>
      <c r="C34" s="608"/>
      <c r="D34" s="608"/>
      <c r="E34" s="609"/>
      <c r="F34" s="609"/>
      <c r="G34" s="609"/>
      <c r="H34" s="609"/>
      <c r="I34" s="609"/>
      <c r="J34" s="609"/>
      <c r="K34" s="609"/>
      <c r="M34" s="453"/>
      <c r="N34" s="453"/>
      <c r="O34" s="453"/>
      <c r="P34" s="453"/>
      <c r="Q34" s="453"/>
      <c r="R34" s="453"/>
      <c r="S34" s="453"/>
      <c r="T34" s="453"/>
      <c r="U34" s="453"/>
      <c r="V34" s="453"/>
      <c r="W34" s="453"/>
      <c r="X34" s="453"/>
      <c r="Y34" s="453"/>
      <c r="Z34" s="453"/>
      <c r="AA34" s="453"/>
    </row>
    <row r="35" spans="1:27" s="583" customFormat="1" x14ac:dyDescent="0.25">
      <c r="A35" s="608"/>
      <c r="B35" s="608"/>
      <c r="C35" s="608"/>
      <c r="D35" s="608"/>
      <c r="E35" s="609"/>
      <c r="F35" s="609"/>
      <c r="G35" s="609"/>
      <c r="H35" s="609"/>
      <c r="I35" s="609"/>
      <c r="J35" s="609"/>
      <c r="K35" s="609"/>
      <c r="M35" s="453"/>
      <c r="N35" s="453"/>
      <c r="O35" s="453"/>
      <c r="P35" s="453"/>
      <c r="Q35" s="453"/>
      <c r="R35" s="453"/>
      <c r="S35" s="453"/>
      <c r="T35" s="453"/>
      <c r="U35" s="453"/>
      <c r="V35" s="453"/>
      <c r="W35" s="453"/>
      <c r="X35" s="453"/>
      <c r="Y35" s="453"/>
      <c r="Z35" s="453"/>
      <c r="AA35" s="453"/>
    </row>
    <row r="36" spans="1:27" s="583" customFormat="1" x14ac:dyDescent="0.25">
      <c r="A36" s="608"/>
      <c r="B36" s="608"/>
      <c r="C36" s="608"/>
      <c r="D36" s="608"/>
      <c r="E36" s="609"/>
      <c r="F36" s="609"/>
      <c r="G36" s="609"/>
      <c r="H36" s="609"/>
      <c r="I36" s="609"/>
      <c r="J36" s="609"/>
      <c r="K36" s="609"/>
      <c r="M36" s="453"/>
      <c r="N36" s="453"/>
      <c r="O36" s="453"/>
      <c r="P36" s="453"/>
      <c r="Q36" s="453"/>
      <c r="R36" s="453"/>
      <c r="S36" s="453"/>
      <c r="T36" s="453"/>
      <c r="U36" s="453"/>
      <c r="V36" s="453"/>
      <c r="W36" s="453"/>
      <c r="X36" s="453"/>
      <c r="Y36" s="453"/>
      <c r="Z36" s="453"/>
      <c r="AA36" s="453"/>
    </row>
    <row r="37" spans="1:27" s="583" customFormat="1" x14ac:dyDescent="0.25">
      <c r="A37" s="608"/>
      <c r="B37" s="608"/>
      <c r="C37" s="608"/>
      <c r="D37" s="608"/>
      <c r="E37" s="609"/>
      <c r="F37" s="609"/>
      <c r="G37" s="609"/>
      <c r="H37" s="609"/>
      <c r="I37" s="609"/>
      <c r="J37" s="609"/>
      <c r="K37" s="609"/>
      <c r="M37" s="453"/>
      <c r="N37" s="453"/>
      <c r="O37" s="453"/>
      <c r="P37" s="453"/>
      <c r="Q37" s="453"/>
      <c r="R37" s="453"/>
      <c r="S37" s="453"/>
      <c r="T37" s="453"/>
      <c r="U37" s="453"/>
      <c r="V37" s="453"/>
      <c r="W37" s="453"/>
      <c r="X37" s="453"/>
      <c r="Y37" s="453"/>
      <c r="Z37" s="453"/>
      <c r="AA37" s="453"/>
    </row>
    <row r="38" spans="1:27" s="583" customFormat="1" x14ac:dyDescent="0.25">
      <c r="A38" s="608"/>
      <c r="B38" s="608"/>
      <c r="C38" s="608"/>
      <c r="D38" s="608"/>
      <c r="E38" s="609"/>
      <c r="F38" s="609"/>
      <c r="G38" s="609"/>
      <c r="H38" s="609"/>
      <c r="I38" s="609"/>
      <c r="J38" s="609"/>
      <c r="K38" s="609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  <c r="AA38" s="453"/>
    </row>
    <row r="39" spans="1:27" s="583" customFormat="1" x14ac:dyDescent="0.25">
      <c r="A39" s="608"/>
      <c r="B39" s="608"/>
      <c r="C39" s="608"/>
      <c r="D39" s="608"/>
      <c r="E39" s="609"/>
      <c r="F39" s="609"/>
      <c r="G39" s="609"/>
      <c r="H39" s="609"/>
      <c r="I39" s="609"/>
      <c r="J39" s="609"/>
      <c r="K39" s="609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  <c r="AA39" s="453"/>
    </row>
    <row r="40" spans="1:27" s="583" customFormat="1" x14ac:dyDescent="0.25">
      <c r="A40" s="608"/>
      <c r="B40" s="608"/>
      <c r="C40" s="608"/>
      <c r="D40" s="608"/>
      <c r="E40" s="609"/>
      <c r="F40" s="609"/>
      <c r="G40" s="609"/>
      <c r="H40" s="609"/>
      <c r="I40" s="609"/>
      <c r="J40" s="609"/>
      <c r="K40" s="609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  <c r="Y40" s="453"/>
      <c r="Z40" s="453"/>
      <c r="AA40" s="453"/>
    </row>
    <row r="41" spans="1:27" s="583" customFormat="1" x14ac:dyDescent="0.25">
      <c r="A41" s="608"/>
      <c r="B41" s="608"/>
      <c r="C41" s="608"/>
      <c r="D41" s="608"/>
      <c r="E41" s="609"/>
      <c r="F41" s="609"/>
      <c r="G41" s="609"/>
      <c r="H41" s="609"/>
      <c r="I41" s="609"/>
      <c r="J41" s="609"/>
      <c r="K41" s="609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3"/>
    </row>
    <row r="42" spans="1:27" s="583" customFormat="1" x14ac:dyDescent="0.25">
      <c r="A42" s="608"/>
      <c r="B42" s="608"/>
      <c r="C42" s="608"/>
      <c r="D42" s="608"/>
      <c r="E42" s="609"/>
      <c r="F42" s="609"/>
      <c r="G42" s="609"/>
      <c r="H42" s="609"/>
      <c r="I42" s="609"/>
      <c r="J42" s="609"/>
      <c r="K42" s="609"/>
      <c r="M42" s="453"/>
      <c r="N42" s="453"/>
      <c r="O42" s="453"/>
      <c r="P42" s="453"/>
      <c r="Q42" s="453"/>
      <c r="R42" s="453"/>
      <c r="S42" s="453"/>
      <c r="T42" s="453"/>
      <c r="U42" s="453"/>
      <c r="V42" s="453"/>
      <c r="W42" s="453"/>
      <c r="X42" s="453"/>
      <c r="Y42" s="453"/>
      <c r="Z42" s="453"/>
      <c r="AA42" s="453"/>
    </row>
    <row r="43" spans="1:27" s="583" customFormat="1" x14ac:dyDescent="0.25">
      <c r="A43" s="608"/>
      <c r="B43" s="608"/>
      <c r="C43" s="608"/>
      <c r="D43" s="608"/>
      <c r="E43" s="609"/>
      <c r="F43" s="609"/>
      <c r="G43" s="609"/>
      <c r="H43" s="609"/>
      <c r="I43" s="609"/>
      <c r="J43" s="609"/>
      <c r="K43" s="609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</row>
    <row r="44" spans="1:27" s="583" customFormat="1" x14ac:dyDescent="0.25">
      <c r="A44" s="608"/>
      <c r="B44" s="608"/>
      <c r="C44" s="608"/>
      <c r="D44" s="608"/>
      <c r="E44" s="609"/>
      <c r="F44" s="609"/>
      <c r="G44" s="609"/>
      <c r="H44" s="609"/>
      <c r="I44" s="609"/>
      <c r="J44" s="609"/>
      <c r="K44" s="609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</row>
    <row r="45" spans="1:27" s="583" customFormat="1" x14ac:dyDescent="0.25">
      <c r="A45" s="608"/>
      <c r="B45" s="608"/>
      <c r="C45" s="608"/>
      <c r="D45" s="608"/>
      <c r="E45" s="609"/>
      <c r="F45" s="609"/>
      <c r="G45" s="609"/>
      <c r="H45" s="609"/>
      <c r="I45" s="609"/>
      <c r="J45" s="609"/>
      <c r="K45" s="609"/>
      <c r="M45" s="453"/>
      <c r="N45" s="453"/>
      <c r="O45" s="453"/>
      <c r="P45" s="453"/>
      <c r="Q45" s="453"/>
      <c r="R45" s="453"/>
      <c r="S45" s="453"/>
      <c r="T45" s="453"/>
      <c r="U45" s="453"/>
      <c r="V45" s="453"/>
      <c r="W45" s="453"/>
      <c r="X45" s="453"/>
      <c r="Y45" s="453"/>
      <c r="Z45" s="453"/>
      <c r="AA45" s="453"/>
    </row>
    <row r="46" spans="1:27" s="583" customFormat="1" x14ac:dyDescent="0.25">
      <c r="A46" s="608"/>
      <c r="B46" s="608"/>
      <c r="C46" s="608"/>
      <c r="D46" s="608"/>
      <c r="E46" s="609"/>
      <c r="F46" s="609"/>
      <c r="G46" s="609"/>
      <c r="H46" s="609"/>
      <c r="I46" s="609"/>
      <c r="J46" s="609"/>
      <c r="K46" s="609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  <c r="AA46" s="453"/>
    </row>
    <row r="47" spans="1:27" s="583" customFormat="1" x14ac:dyDescent="0.25">
      <c r="A47" s="608"/>
      <c r="B47" s="608"/>
      <c r="C47" s="608"/>
      <c r="D47" s="608"/>
      <c r="E47" s="609"/>
      <c r="F47" s="609"/>
      <c r="G47" s="609"/>
      <c r="H47" s="609"/>
      <c r="I47" s="609"/>
      <c r="J47" s="609"/>
      <c r="K47" s="609"/>
      <c r="M47" s="453"/>
      <c r="N47" s="453"/>
      <c r="O47" s="453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3"/>
      <c r="AA47" s="453"/>
    </row>
    <row r="48" spans="1:27" s="583" customFormat="1" x14ac:dyDescent="0.25">
      <c r="A48" s="608"/>
      <c r="B48" s="608"/>
      <c r="C48" s="608"/>
      <c r="D48" s="608"/>
      <c r="E48" s="609"/>
      <c r="F48" s="609"/>
      <c r="G48" s="609"/>
      <c r="H48" s="609"/>
      <c r="I48" s="609"/>
      <c r="J48" s="609"/>
      <c r="K48" s="609"/>
      <c r="M48" s="453"/>
      <c r="N48" s="453"/>
      <c r="O48" s="453"/>
      <c r="P48" s="453"/>
      <c r="Q48" s="453"/>
      <c r="R48" s="453"/>
      <c r="S48" s="453"/>
      <c r="T48" s="453"/>
      <c r="U48" s="453"/>
      <c r="V48" s="453"/>
      <c r="W48" s="453"/>
      <c r="X48" s="453"/>
      <c r="Y48" s="453"/>
      <c r="Z48" s="453"/>
      <c r="AA48" s="453"/>
    </row>
    <row r="49" spans="1:27" s="583" customFormat="1" x14ac:dyDescent="0.25">
      <c r="A49" s="608"/>
      <c r="B49" s="608"/>
      <c r="C49" s="608"/>
      <c r="D49" s="608"/>
      <c r="E49" s="609"/>
      <c r="F49" s="609"/>
      <c r="G49" s="609"/>
      <c r="H49" s="609"/>
      <c r="I49" s="609"/>
      <c r="J49" s="609"/>
      <c r="K49" s="609"/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53"/>
      <c r="Y49" s="453"/>
      <c r="Z49" s="453"/>
      <c r="AA49" s="453"/>
    </row>
    <row r="50" spans="1:27" s="583" customFormat="1" x14ac:dyDescent="0.25">
      <c r="A50" s="608"/>
      <c r="B50" s="608"/>
      <c r="C50" s="608"/>
      <c r="D50" s="608"/>
      <c r="E50" s="609"/>
      <c r="F50" s="609"/>
      <c r="G50" s="609"/>
      <c r="H50" s="609"/>
      <c r="I50" s="609"/>
      <c r="J50" s="609"/>
      <c r="K50" s="609"/>
      <c r="M50" s="453"/>
      <c r="N50" s="453"/>
      <c r="O50" s="453"/>
      <c r="P50" s="453"/>
      <c r="Q50" s="453"/>
      <c r="R50" s="453"/>
      <c r="S50" s="453"/>
      <c r="T50" s="453"/>
      <c r="U50" s="453"/>
      <c r="V50" s="453"/>
      <c r="W50" s="453"/>
      <c r="X50" s="453"/>
      <c r="Y50" s="453"/>
      <c r="Z50" s="453"/>
      <c r="AA50" s="453"/>
    </row>
    <row r="51" spans="1:27" s="583" customFormat="1" x14ac:dyDescent="0.25">
      <c r="A51" s="608"/>
      <c r="B51" s="608"/>
      <c r="C51" s="608"/>
      <c r="D51" s="608"/>
      <c r="E51" s="609"/>
      <c r="F51" s="609"/>
      <c r="G51" s="609"/>
      <c r="H51" s="609"/>
      <c r="I51" s="609"/>
      <c r="J51" s="609"/>
      <c r="K51" s="609"/>
      <c r="M51" s="453"/>
      <c r="N51" s="453"/>
      <c r="O51" s="453"/>
      <c r="P51" s="453"/>
      <c r="Q51" s="453"/>
      <c r="R51" s="453"/>
      <c r="S51" s="453"/>
      <c r="T51" s="453"/>
      <c r="U51" s="453"/>
      <c r="V51" s="453"/>
      <c r="W51" s="453"/>
      <c r="X51" s="453"/>
      <c r="Y51" s="453"/>
      <c r="Z51" s="453"/>
      <c r="AA51" s="453"/>
    </row>
    <row r="52" spans="1:27" s="583" customFormat="1" x14ac:dyDescent="0.25">
      <c r="A52" s="608"/>
      <c r="B52" s="608"/>
      <c r="C52" s="608"/>
      <c r="D52" s="608"/>
      <c r="E52" s="609"/>
      <c r="F52" s="609"/>
      <c r="G52" s="609"/>
      <c r="H52" s="609"/>
      <c r="I52" s="609"/>
      <c r="J52" s="609"/>
      <c r="K52" s="609"/>
      <c r="M52" s="453"/>
      <c r="N52" s="453"/>
      <c r="O52" s="453"/>
      <c r="P52" s="453"/>
      <c r="Q52" s="453"/>
      <c r="R52" s="453"/>
      <c r="S52" s="453"/>
      <c r="T52" s="453"/>
      <c r="U52" s="453"/>
      <c r="V52" s="453"/>
      <c r="W52" s="453"/>
      <c r="X52" s="453"/>
      <c r="Y52" s="453"/>
      <c r="Z52" s="453"/>
      <c r="AA52" s="453"/>
    </row>
    <row r="53" spans="1:27" s="583" customFormat="1" x14ac:dyDescent="0.25">
      <c r="A53" s="608"/>
      <c r="B53" s="608"/>
      <c r="C53" s="608"/>
      <c r="D53" s="608"/>
      <c r="E53" s="609"/>
      <c r="F53" s="609"/>
      <c r="G53" s="609"/>
      <c r="H53" s="609"/>
      <c r="I53" s="609"/>
      <c r="J53" s="609"/>
      <c r="K53" s="609"/>
      <c r="M53" s="453"/>
      <c r="N53" s="453"/>
      <c r="O53" s="453"/>
      <c r="P53" s="453"/>
      <c r="Q53" s="453"/>
      <c r="R53" s="453"/>
      <c r="S53" s="453"/>
      <c r="T53" s="453"/>
      <c r="U53" s="453"/>
      <c r="V53" s="453"/>
      <c r="W53" s="453"/>
      <c r="X53" s="453"/>
      <c r="Y53" s="453"/>
      <c r="Z53" s="453"/>
      <c r="AA53" s="453"/>
    </row>
    <row r="54" spans="1:27" s="583" customFormat="1" x14ac:dyDescent="0.25">
      <c r="A54" s="608"/>
      <c r="B54" s="608"/>
      <c r="C54" s="608"/>
      <c r="D54" s="608"/>
      <c r="E54" s="609"/>
      <c r="F54" s="609"/>
      <c r="G54" s="609"/>
      <c r="H54" s="609"/>
      <c r="I54" s="609"/>
      <c r="J54" s="609"/>
      <c r="K54" s="609"/>
      <c r="M54" s="453"/>
      <c r="N54" s="453"/>
      <c r="O54" s="453"/>
      <c r="P54" s="453"/>
      <c r="Q54" s="453"/>
      <c r="R54" s="453"/>
      <c r="S54" s="453"/>
      <c r="T54" s="453"/>
      <c r="U54" s="453"/>
      <c r="V54" s="453"/>
      <c r="W54" s="453"/>
      <c r="X54" s="453"/>
      <c r="Y54" s="453"/>
      <c r="Z54" s="453"/>
      <c r="AA54" s="453"/>
    </row>
    <row r="55" spans="1:27" s="583" customFormat="1" x14ac:dyDescent="0.25">
      <c r="A55" s="608"/>
      <c r="B55" s="608"/>
      <c r="C55" s="608"/>
      <c r="D55" s="608"/>
      <c r="E55" s="609"/>
      <c r="F55" s="609"/>
      <c r="G55" s="609"/>
      <c r="H55" s="609"/>
      <c r="I55" s="609"/>
      <c r="J55" s="609"/>
      <c r="K55" s="609"/>
      <c r="M55" s="453"/>
      <c r="N55" s="453"/>
      <c r="O55" s="453"/>
      <c r="P55" s="453"/>
      <c r="Q55" s="453"/>
      <c r="R55" s="453"/>
      <c r="S55" s="453"/>
      <c r="T55" s="453"/>
      <c r="U55" s="453"/>
      <c r="V55" s="453"/>
      <c r="W55" s="453"/>
      <c r="X55" s="453"/>
      <c r="Y55" s="453"/>
      <c r="Z55" s="453"/>
      <c r="AA55" s="453"/>
    </row>
    <row r="56" spans="1:27" s="583" customFormat="1" x14ac:dyDescent="0.25">
      <c r="A56" s="608"/>
      <c r="B56" s="608"/>
      <c r="C56" s="608"/>
      <c r="D56" s="608"/>
      <c r="E56" s="609"/>
      <c r="F56" s="609"/>
      <c r="G56" s="609"/>
      <c r="H56" s="609"/>
      <c r="I56" s="609"/>
      <c r="J56" s="609"/>
      <c r="K56" s="609"/>
      <c r="M56" s="453"/>
      <c r="N56" s="453"/>
      <c r="O56" s="453"/>
      <c r="P56" s="453"/>
      <c r="Q56" s="453"/>
      <c r="R56" s="453"/>
      <c r="S56" s="453"/>
      <c r="T56" s="453"/>
      <c r="U56" s="453"/>
      <c r="V56" s="453"/>
      <c r="W56" s="453"/>
      <c r="X56" s="453"/>
      <c r="Y56" s="453"/>
      <c r="Z56" s="453"/>
      <c r="AA56" s="453"/>
    </row>
    <row r="57" spans="1:27" s="583" customFormat="1" x14ac:dyDescent="0.25">
      <c r="A57" s="608"/>
      <c r="B57" s="608"/>
      <c r="C57" s="608"/>
      <c r="D57" s="608"/>
      <c r="E57" s="609"/>
      <c r="F57" s="609"/>
      <c r="G57" s="609"/>
      <c r="H57" s="609"/>
      <c r="I57" s="609"/>
      <c r="J57" s="609"/>
      <c r="K57" s="609"/>
      <c r="M57" s="453"/>
      <c r="N57" s="453"/>
      <c r="O57" s="453"/>
      <c r="P57" s="453"/>
      <c r="Q57" s="453"/>
      <c r="R57" s="453"/>
      <c r="S57" s="453"/>
      <c r="T57" s="453"/>
      <c r="U57" s="453"/>
      <c r="V57" s="453"/>
      <c r="W57" s="453"/>
      <c r="X57" s="453"/>
      <c r="Y57" s="453"/>
      <c r="Z57" s="453"/>
      <c r="AA57" s="453"/>
    </row>
    <row r="58" spans="1:27" s="583" customFormat="1" x14ac:dyDescent="0.25">
      <c r="A58" s="608"/>
      <c r="B58" s="608"/>
      <c r="C58" s="608"/>
      <c r="D58" s="608"/>
      <c r="E58" s="609"/>
      <c r="F58" s="609"/>
      <c r="G58" s="609"/>
      <c r="H58" s="609"/>
      <c r="I58" s="609"/>
      <c r="J58" s="609"/>
      <c r="K58" s="609"/>
      <c r="M58" s="453"/>
      <c r="N58" s="453"/>
      <c r="O58" s="453"/>
      <c r="P58" s="453"/>
      <c r="Q58" s="453"/>
      <c r="R58" s="453"/>
      <c r="S58" s="453"/>
      <c r="T58" s="453"/>
      <c r="U58" s="453"/>
      <c r="V58" s="453"/>
      <c r="W58" s="453"/>
      <c r="X58" s="453"/>
      <c r="Y58" s="453"/>
      <c r="Z58" s="453"/>
      <c r="AA58" s="453"/>
    </row>
    <row r="59" spans="1:27" s="583" customFormat="1" x14ac:dyDescent="0.25">
      <c r="A59" s="608"/>
      <c r="B59" s="608"/>
      <c r="C59" s="608"/>
      <c r="D59" s="608"/>
      <c r="E59" s="609"/>
      <c r="F59" s="609"/>
      <c r="G59" s="609"/>
      <c r="H59" s="609"/>
      <c r="I59" s="609"/>
      <c r="J59" s="609"/>
      <c r="K59" s="609"/>
      <c r="M59" s="453"/>
      <c r="N59" s="453"/>
      <c r="O59" s="453"/>
      <c r="P59" s="453"/>
      <c r="Q59" s="453"/>
      <c r="R59" s="453"/>
      <c r="S59" s="453"/>
      <c r="T59" s="453"/>
      <c r="U59" s="453"/>
      <c r="V59" s="453"/>
      <c r="W59" s="453"/>
      <c r="X59" s="453"/>
      <c r="Y59" s="453"/>
      <c r="Z59" s="453"/>
      <c r="AA59" s="453"/>
    </row>
    <row r="60" spans="1:27" s="583" customFormat="1" x14ac:dyDescent="0.25">
      <c r="A60" s="608"/>
      <c r="B60" s="608"/>
      <c r="C60" s="608"/>
      <c r="D60" s="608"/>
      <c r="E60" s="609"/>
      <c r="F60" s="609"/>
      <c r="G60" s="609"/>
      <c r="H60" s="609"/>
      <c r="I60" s="609"/>
      <c r="J60" s="609"/>
      <c r="K60" s="609"/>
      <c r="M60" s="453"/>
      <c r="N60" s="453"/>
      <c r="O60" s="453"/>
      <c r="P60" s="453"/>
      <c r="Q60" s="453"/>
      <c r="R60" s="453"/>
      <c r="S60" s="453"/>
      <c r="T60" s="453"/>
      <c r="U60" s="453"/>
      <c r="V60" s="453"/>
      <c r="W60" s="453"/>
      <c r="X60" s="453"/>
      <c r="Y60" s="453"/>
      <c r="Z60" s="453"/>
      <c r="AA60" s="453"/>
    </row>
    <row r="61" spans="1:27" s="583" customFormat="1" x14ac:dyDescent="0.25">
      <c r="A61" s="608"/>
      <c r="B61" s="608"/>
      <c r="C61" s="608"/>
      <c r="D61" s="608"/>
      <c r="E61" s="609"/>
      <c r="F61" s="609"/>
      <c r="G61" s="609"/>
      <c r="H61" s="609"/>
      <c r="I61" s="609"/>
      <c r="J61" s="609"/>
      <c r="K61" s="609"/>
      <c r="M61" s="453"/>
      <c r="N61" s="453"/>
      <c r="O61" s="453"/>
      <c r="P61" s="453"/>
      <c r="Q61" s="453"/>
      <c r="R61" s="453"/>
      <c r="S61" s="453"/>
      <c r="T61" s="453"/>
      <c r="U61" s="453"/>
      <c r="V61" s="453"/>
      <c r="W61" s="453"/>
      <c r="X61" s="453"/>
      <c r="Y61" s="453"/>
      <c r="Z61" s="453"/>
      <c r="AA61" s="453"/>
    </row>
    <row r="62" spans="1:27" s="583" customFormat="1" x14ac:dyDescent="0.25">
      <c r="A62" s="608"/>
      <c r="B62" s="608"/>
      <c r="C62" s="608"/>
      <c r="D62" s="608"/>
      <c r="E62" s="609"/>
      <c r="F62" s="609"/>
      <c r="G62" s="609"/>
      <c r="H62" s="609"/>
      <c r="I62" s="609"/>
      <c r="J62" s="609"/>
      <c r="K62" s="609"/>
      <c r="M62" s="453"/>
      <c r="N62" s="453"/>
      <c r="O62" s="453"/>
      <c r="P62" s="453"/>
      <c r="Q62" s="453"/>
      <c r="R62" s="453"/>
      <c r="S62" s="453"/>
      <c r="T62" s="453"/>
      <c r="U62" s="453"/>
      <c r="V62" s="453"/>
      <c r="W62" s="453"/>
      <c r="X62" s="453"/>
      <c r="Y62" s="453"/>
      <c r="Z62" s="453"/>
      <c r="AA62" s="453"/>
    </row>
    <row r="63" spans="1:27" s="583" customFormat="1" x14ac:dyDescent="0.25">
      <c r="A63" s="608"/>
      <c r="B63" s="608"/>
      <c r="C63" s="608"/>
      <c r="D63" s="608"/>
      <c r="E63" s="609"/>
      <c r="F63" s="609"/>
      <c r="G63" s="609"/>
      <c r="H63" s="609"/>
      <c r="I63" s="609"/>
      <c r="J63" s="609"/>
      <c r="K63" s="609"/>
      <c r="M63" s="453"/>
      <c r="N63" s="453"/>
      <c r="O63" s="453"/>
      <c r="P63" s="453"/>
      <c r="Q63" s="453"/>
      <c r="R63" s="453"/>
      <c r="S63" s="453"/>
      <c r="T63" s="453"/>
      <c r="U63" s="453"/>
      <c r="V63" s="453"/>
      <c r="W63" s="453"/>
      <c r="X63" s="453"/>
      <c r="Y63" s="453"/>
      <c r="Z63" s="453"/>
      <c r="AA63" s="453"/>
    </row>
    <row r="64" spans="1:27" s="583" customFormat="1" x14ac:dyDescent="0.25">
      <c r="A64" s="608"/>
      <c r="B64" s="608"/>
      <c r="C64" s="608"/>
      <c r="D64" s="608"/>
      <c r="E64" s="609"/>
      <c r="F64" s="609"/>
      <c r="G64" s="609"/>
      <c r="H64" s="609"/>
      <c r="I64" s="609"/>
      <c r="J64" s="609"/>
      <c r="K64" s="609"/>
      <c r="M64" s="453"/>
      <c r="N64" s="453"/>
      <c r="O64" s="453"/>
      <c r="P64" s="453"/>
      <c r="Q64" s="453"/>
      <c r="R64" s="453"/>
      <c r="S64" s="453"/>
      <c r="T64" s="453"/>
      <c r="U64" s="453"/>
      <c r="V64" s="453"/>
      <c r="W64" s="453"/>
      <c r="X64" s="453"/>
      <c r="Y64" s="453"/>
      <c r="Z64" s="453"/>
      <c r="AA64" s="453"/>
    </row>
    <row r="65" spans="1:27" s="583" customFormat="1" x14ac:dyDescent="0.25">
      <c r="A65" s="608"/>
      <c r="B65" s="608"/>
      <c r="C65" s="608"/>
      <c r="D65" s="608"/>
      <c r="E65" s="609"/>
      <c r="F65" s="609"/>
      <c r="G65" s="609"/>
      <c r="H65" s="609"/>
      <c r="I65" s="609"/>
      <c r="J65" s="609"/>
      <c r="K65" s="609"/>
      <c r="M65" s="453"/>
      <c r="N65" s="453"/>
      <c r="O65" s="453"/>
      <c r="P65" s="453"/>
      <c r="Q65" s="453"/>
      <c r="R65" s="453"/>
      <c r="S65" s="453"/>
      <c r="T65" s="453"/>
      <c r="U65" s="453"/>
      <c r="V65" s="453"/>
      <c r="W65" s="453"/>
      <c r="X65" s="453"/>
      <c r="Y65" s="453"/>
      <c r="Z65" s="453"/>
      <c r="AA65" s="453"/>
    </row>
    <row r="66" spans="1:27" s="583" customFormat="1" x14ac:dyDescent="0.25">
      <c r="A66" s="608"/>
      <c r="B66" s="608"/>
      <c r="C66" s="608"/>
      <c r="D66" s="608"/>
      <c r="E66" s="609"/>
      <c r="F66" s="609"/>
      <c r="G66" s="609"/>
      <c r="H66" s="609"/>
      <c r="I66" s="609"/>
      <c r="J66" s="609"/>
      <c r="K66" s="609"/>
      <c r="M66" s="453"/>
      <c r="N66" s="453"/>
      <c r="O66" s="453"/>
      <c r="P66" s="453"/>
      <c r="Q66" s="453"/>
      <c r="R66" s="453"/>
      <c r="S66" s="453"/>
      <c r="T66" s="453"/>
      <c r="U66" s="453"/>
      <c r="V66" s="453"/>
      <c r="W66" s="453"/>
      <c r="X66" s="453"/>
      <c r="Y66" s="453"/>
      <c r="Z66" s="453"/>
      <c r="AA66" s="453"/>
    </row>
    <row r="67" spans="1:27" s="583" customFormat="1" x14ac:dyDescent="0.25">
      <c r="A67" s="608"/>
      <c r="B67" s="608"/>
      <c r="C67" s="608"/>
      <c r="D67" s="608"/>
      <c r="E67" s="609"/>
      <c r="F67" s="609"/>
      <c r="G67" s="609"/>
      <c r="H67" s="609"/>
      <c r="I67" s="609"/>
      <c r="J67" s="609"/>
      <c r="K67" s="609"/>
      <c r="M67" s="453"/>
      <c r="N67" s="453"/>
      <c r="O67" s="453"/>
      <c r="P67" s="453"/>
      <c r="Q67" s="453"/>
      <c r="R67" s="453"/>
      <c r="S67" s="453"/>
      <c r="T67" s="453"/>
      <c r="U67" s="453"/>
      <c r="V67" s="453"/>
      <c r="W67" s="453"/>
      <c r="X67" s="453"/>
      <c r="Y67" s="453"/>
      <c r="Z67" s="453"/>
      <c r="AA67" s="453"/>
    </row>
    <row r="68" spans="1:27" s="583" customFormat="1" x14ac:dyDescent="0.25">
      <c r="A68" s="608"/>
      <c r="B68" s="608"/>
      <c r="C68" s="608"/>
      <c r="D68" s="608"/>
      <c r="E68" s="609"/>
      <c r="F68" s="609"/>
      <c r="G68" s="609"/>
      <c r="H68" s="609"/>
      <c r="I68" s="609"/>
      <c r="J68" s="609"/>
      <c r="K68" s="609"/>
      <c r="M68" s="453"/>
      <c r="N68" s="453"/>
      <c r="O68" s="453"/>
      <c r="P68" s="453"/>
      <c r="Q68" s="453"/>
      <c r="R68" s="453"/>
      <c r="S68" s="453"/>
      <c r="T68" s="453"/>
      <c r="U68" s="453"/>
      <c r="V68" s="453"/>
      <c r="W68" s="453"/>
      <c r="X68" s="453"/>
      <c r="Y68" s="453"/>
      <c r="Z68" s="453"/>
      <c r="AA68" s="453"/>
    </row>
    <row r="69" spans="1:27" s="583" customFormat="1" x14ac:dyDescent="0.25">
      <c r="A69" s="608"/>
      <c r="B69" s="608"/>
      <c r="C69" s="608"/>
      <c r="D69" s="608"/>
      <c r="E69" s="609"/>
      <c r="F69" s="609"/>
      <c r="G69" s="609"/>
      <c r="H69" s="609"/>
      <c r="I69" s="609"/>
      <c r="J69" s="609"/>
      <c r="K69" s="609"/>
      <c r="M69" s="453"/>
      <c r="N69" s="453"/>
      <c r="O69" s="453"/>
      <c r="P69" s="453"/>
      <c r="Q69" s="453"/>
      <c r="R69" s="453"/>
      <c r="S69" s="453"/>
      <c r="T69" s="453"/>
      <c r="U69" s="453"/>
      <c r="V69" s="453"/>
      <c r="W69" s="453"/>
      <c r="X69" s="453"/>
      <c r="Y69" s="453"/>
      <c r="Z69" s="453"/>
      <c r="AA69" s="453"/>
    </row>
    <row r="70" spans="1:27" s="583" customFormat="1" x14ac:dyDescent="0.25">
      <c r="A70" s="608"/>
      <c r="B70" s="608"/>
      <c r="C70" s="608"/>
      <c r="D70" s="608"/>
      <c r="E70" s="609"/>
      <c r="F70" s="609"/>
      <c r="G70" s="609"/>
      <c r="H70" s="609"/>
      <c r="I70" s="609"/>
      <c r="J70" s="609"/>
      <c r="K70" s="609"/>
      <c r="M70" s="453"/>
      <c r="N70" s="453"/>
      <c r="O70" s="453"/>
      <c r="P70" s="453"/>
      <c r="Q70" s="453"/>
      <c r="R70" s="453"/>
      <c r="S70" s="453"/>
      <c r="T70" s="453"/>
      <c r="U70" s="453"/>
      <c r="V70" s="453"/>
      <c r="W70" s="453"/>
      <c r="X70" s="453"/>
      <c r="Y70" s="453"/>
      <c r="Z70" s="453"/>
      <c r="AA70" s="453"/>
    </row>
    <row r="71" spans="1:27" s="583" customFormat="1" x14ac:dyDescent="0.25">
      <c r="A71" s="608"/>
      <c r="B71" s="608"/>
      <c r="C71" s="608"/>
      <c r="D71" s="608"/>
      <c r="E71" s="609"/>
      <c r="F71" s="609"/>
      <c r="G71" s="609"/>
      <c r="H71" s="609"/>
      <c r="I71" s="609"/>
      <c r="J71" s="609"/>
      <c r="K71" s="609"/>
      <c r="M71" s="453"/>
      <c r="N71" s="453"/>
      <c r="O71" s="453"/>
      <c r="P71" s="453"/>
      <c r="Q71" s="453"/>
      <c r="R71" s="453"/>
      <c r="S71" s="453"/>
      <c r="T71" s="453"/>
      <c r="U71" s="453"/>
      <c r="V71" s="453"/>
      <c r="W71" s="453"/>
      <c r="X71" s="453"/>
      <c r="Y71" s="453"/>
      <c r="Z71" s="453"/>
      <c r="AA71" s="453"/>
    </row>
    <row r="72" spans="1:27" s="583" customFormat="1" x14ac:dyDescent="0.25">
      <c r="A72" s="608"/>
      <c r="B72" s="608"/>
      <c r="C72" s="608"/>
      <c r="D72" s="608"/>
      <c r="E72" s="609"/>
      <c r="F72" s="609"/>
      <c r="G72" s="609"/>
      <c r="H72" s="609"/>
      <c r="I72" s="609"/>
      <c r="J72" s="609"/>
      <c r="K72" s="609"/>
      <c r="M72" s="453"/>
      <c r="N72" s="453"/>
      <c r="O72" s="453"/>
      <c r="P72" s="453"/>
      <c r="Q72" s="453"/>
      <c r="R72" s="453"/>
      <c r="S72" s="453"/>
      <c r="T72" s="453"/>
      <c r="U72" s="453"/>
      <c r="V72" s="453"/>
      <c r="W72" s="453"/>
      <c r="X72" s="453"/>
      <c r="Y72" s="453"/>
      <c r="Z72" s="453"/>
      <c r="AA72" s="453"/>
    </row>
    <row r="73" spans="1:27" s="583" customFormat="1" x14ac:dyDescent="0.25">
      <c r="A73" s="608"/>
      <c r="B73" s="608"/>
      <c r="C73" s="608"/>
      <c r="D73" s="608"/>
      <c r="E73" s="609"/>
      <c r="F73" s="609"/>
      <c r="G73" s="609"/>
      <c r="H73" s="609"/>
      <c r="I73" s="609"/>
      <c r="J73" s="609"/>
      <c r="K73" s="609"/>
      <c r="M73" s="453"/>
      <c r="N73" s="453"/>
      <c r="O73" s="453"/>
      <c r="P73" s="453"/>
      <c r="Q73" s="453"/>
      <c r="R73" s="453"/>
      <c r="S73" s="453"/>
      <c r="T73" s="453"/>
      <c r="U73" s="453"/>
      <c r="V73" s="453"/>
      <c r="W73" s="453"/>
      <c r="X73" s="453"/>
      <c r="Y73" s="453"/>
      <c r="Z73" s="453"/>
      <c r="AA73" s="453"/>
    </row>
    <row r="74" spans="1:27" s="583" customFormat="1" x14ac:dyDescent="0.25">
      <c r="A74" s="608"/>
      <c r="B74" s="608"/>
      <c r="C74" s="608"/>
      <c r="D74" s="608"/>
      <c r="E74" s="609"/>
      <c r="F74" s="609"/>
      <c r="G74" s="609"/>
      <c r="H74" s="609"/>
      <c r="I74" s="609"/>
      <c r="J74" s="609"/>
      <c r="K74" s="609"/>
      <c r="M74" s="453"/>
      <c r="N74" s="453"/>
      <c r="O74" s="453"/>
      <c r="P74" s="453"/>
      <c r="Q74" s="453"/>
      <c r="R74" s="453"/>
      <c r="S74" s="453"/>
      <c r="T74" s="453"/>
      <c r="U74" s="453"/>
      <c r="V74" s="453"/>
      <c r="W74" s="453"/>
      <c r="X74" s="453"/>
      <c r="Y74" s="453"/>
      <c r="Z74" s="453"/>
      <c r="AA74" s="453"/>
    </row>
    <row r="75" spans="1:27" s="583" customFormat="1" x14ac:dyDescent="0.25">
      <c r="A75" s="608"/>
      <c r="B75" s="608"/>
      <c r="C75" s="608"/>
      <c r="D75" s="608"/>
      <c r="E75" s="609"/>
      <c r="F75" s="609"/>
      <c r="G75" s="609"/>
      <c r="H75" s="609"/>
      <c r="I75" s="609"/>
      <c r="J75" s="609"/>
      <c r="K75" s="609"/>
      <c r="M75" s="453"/>
      <c r="N75" s="453"/>
      <c r="O75" s="453"/>
      <c r="P75" s="453"/>
      <c r="Q75" s="453"/>
      <c r="R75" s="453"/>
      <c r="S75" s="453"/>
      <c r="T75" s="453"/>
      <c r="U75" s="453"/>
      <c r="V75" s="453"/>
      <c r="W75" s="453"/>
      <c r="X75" s="453"/>
      <c r="Y75" s="453"/>
      <c r="Z75" s="453"/>
      <c r="AA75" s="453"/>
    </row>
    <row r="76" spans="1:27" s="583" customFormat="1" x14ac:dyDescent="0.25">
      <c r="A76" s="608"/>
      <c r="B76" s="608"/>
      <c r="C76" s="608"/>
      <c r="D76" s="608"/>
      <c r="E76" s="609"/>
      <c r="F76" s="609"/>
      <c r="G76" s="609"/>
      <c r="H76" s="609"/>
      <c r="I76" s="609"/>
      <c r="J76" s="609"/>
      <c r="K76" s="609"/>
      <c r="M76" s="453"/>
      <c r="N76" s="453"/>
      <c r="O76" s="453"/>
      <c r="P76" s="453"/>
      <c r="Q76" s="453"/>
      <c r="R76" s="453"/>
      <c r="S76" s="453"/>
      <c r="T76" s="453"/>
      <c r="U76" s="453"/>
      <c r="V76" s="453"/>
      <c r="W76" s="453"/>
      <c r="X76" s="453"/>
      <c r="Y76" s="453"/>
      <c r="Z76" s="453"/>
      <c r="AA76" s="453"/>
    </row>
    <row r="77" spans="1:27" s="583" customFormat="1" x14ac:dyDescent="0.25">
      <c r="A77" s="608"/>
      <c r="B77" s="608"/>
      <c r="C77" s="608"/>
      <c r="D77" s="608"/>
      <c r="E77" s="609"/>
      <c r="F77" s="609"/>
      <c r="G77" s="609"/>
      <c r="H77" s="609"/>
      <c r="I77" s="609"/>
      <c r="J77" s="609"/>
      <c r="K77" s="609"/>
      <c r="M77" s="453"/>
      <c r="N77" s="453"/>
      <c r="O77" s="453"/>
      <c r="P77" s="453"/>
      <c r="Q77" s="453"/>
      <c r="R77" s="453"/>
      <c r="S77" s="453"/>
      <c r="T77" s="453"/>
      <c r="U77" s="453"/>
      <c r="V77" s="453"/>
      <c r="W77" s="453"/>
      <c r="X77" s="453"/>
      <c r="Y77" s="453"/>
      <c r="Z77" s="453"/>
      <c r="AA77" s="453"/>
    </row>
    <row r="78" spans="1:27" s="583" customFormat="1" x14ac:dyDescent="0.25">
      <c r="A78" s="608"/>
      <c r="B78" s="608"/>
      <c r="C78" s="608"/>
      <c r="D78" s="608"/>
      <c r="E78" s="609"/>
      <c r="F78" s="609"/>
      <c r="G78" s="609"/>
      <c r="H78" s="609"/>
      <c r="I78" s="609"/>
      <c r="J78" s="609"/>
      <c r="K78" s="609"/>
      <c r="M78" s="453"/>
      <c r="N78" s="453"/>
      <c r="O78" s="453"/>
      <c r="P78" s="453"/>
      <c r="Q78" s="453"/>
      <c r="R78" s="453"/>
      <c r="S78" s="453"/>
      <c r="T78" s="453"/>
      <c r="U78" s="453"/>
      <c r="V78" s="453"/>
      <c r="W78" s="453"/>
      <c r="X78" s="453"/>
      <c r="Y78" s="453"/>
      <c r="Z78" s="453"/>
      <c r="AA78" s="453"/>
    </row>
    <row r="79" spans="1:27" s="583" customFormat="1" x14ac:dyDescent="0.25">
      <c r="A79" s="608"/>
      <c r="B79" s="608"/>
      <c r="C79" s="608"/>
      <c r="D79" s="608"/>
      <c r="E79" s="609"/>
      <c r="F79" s="609"/>
      <c r="G79" s="609"/>
      <c r="H79" s="609"/>
      <c r="I79" s="609"/>
      <c r="J79" s="609"/>
      <c r="K79" s="609"/>
      <c r="M79" s="453"/>
      <c r="N79" s="453"/>
      <c r="O79" s="453"/>
      <c r="P79" s="453"/>
      <c r="Q79" s="453"/>
      <c r="R79" s="453"/>
      <c r="S79" s="453"/>
      <c r="T79" s="453"/>
      <c r="U79" s="453"/>
      <c r="V79" s="453"/>
      <c r="W79" s="453"/>
      <c r="X79" s="453"/>
      <c r="Y79" s="453"/>
      <c r="Z79" s="453"/>
      <c r="AA79" s="453"/>
    </row>
    <row r="80" spans="1:27" s="583" customFormat="1" x14ac:dyDescent="0.25">
      <c r="A80" s="608"/>
      <c r="B80" s="608"/>
      <c r="C80" s="608"/>
      <c r="D80" s="608"/>
      <c r="E80" s="609"/>
      <c r="F80" s="609"/>
      <c r="G80" s="609"/>
      <c r="H80" s="609"/>
      <c r="I80" s="609"/>
      <c r="J80" s="609"/>
      <c r="K80" s="609"/>
      <c r="M80" s="453"/>
      <c r="N80" s="453"/>
      <c r="O80" s="453"/>
      <c r="P80" s="453"/>
      <c r="Q80" s="453"/>
      <c r="R80" s="453"/>
      <c r="S80" s="453"/>
      <c r="T80" s="453"/>
      <c r="U80" s="453"/>
      <c r="V80" s="453"/>
      <c r="W80" s="453"/>
      <c r="X80" s="453"/>
      <c r="Y80" s="453"/>
      <c r="Z80" s="453"/>
      <c r="AA80" s="453"/>
    </row>
    <row r="81" spans="1:27" s="583" customFormat="1" x14ac:dyDescent="0.25">
      <c r="A81" s="608"/>
      <c r="B81" s="608"/>
      <c r="C81" s="608"/>
      <c r="D81" s="608"/>
      <c r="E81" s="609"/>
      <c r="F81" s="609"/>
      <c r="G81" s="609"/>
      <c r="H81" s="609"/>
      <c r="I81" s="609"/>
      <c r="J81" s="609"/>
      <c r="K81" s="609"/>
      <c r="M81" s="453"/>
      <c r="N81" s="453"/>
      <c r="O81" s="453"/>
      <c r="P81" s="453"/>
      <c r="Q81" s="453"/>
      <c r="R81" s="453"/>
      <c r="S81" s="453"/>
      <c r="T81" s="453"/>
      <c r="U81" s="453"/>
      <c r="V81" s="453"/>
      <c r="W81" s="453"/>
      <c r="X81" s="453"/>
      <c r="Y81" s="453"/>
      <c r="Z81" s="453"/>
      <c r="AA81" s="453"/>
    </row>
    <row r="82" spans="1:27" s="583" customFormat="1" x14ac:dyDescent="0.25">
      <c r="A82" s="608"/>
      <c r="B82" s="608"/>
      <c r="C82" s="608"/>
      <c r="D82" s="608"/>
      <c r="E82" s="609"/>
      <c r="F82" s="609"/>
      <c r="G82" s="609"/>
      <c r="H82" s="609"/>
      <c r="I82" s="609"/>
      <c r="J82" s="609"/>
      <c r="K82" s="609"/>
      <c r="M82" s="453"/>
      <c r="N82" s="453"/>
      <c r="O82" s="453"/>
      <c r="P82" s="453"/>
      <c r="Q82" s="453"/>
      <c r="R82" s="453"/>
      <c r="S82" s="453"/>
      <c r="T82" s="453"/>
      <c r="U82" s="453"/>
      <c r="V82" s="453"/>
      <c r="W82" s="453"/>
      <c r="X82" s="453"/>
      <c r="Y82" s="453"/>
      <c r="Z82" s="453"/>
      <c r="AA82" s="453"/>
    </row>
    <row r="83" spans="1:27" s="583" customFormat="1" x14ac:dyDescent="0.25">
      <c r="A83" s="608"/>
      <c r="B83" s="608"/>
      <c r="C83" s="608"/>
      <c r="D83" s="608"/>
      <c r="E83" s="609"/>
      <c r="F83" s="609"/>
      <c r="G83" s="609"/>
      <c r="H83" s="609"/>
      <c r="I83" s="609"/>
      <c r="J83" s="609"/>
      <c r="K83" s="609"/>
      <c r="M83" s="453"/>
      <c r="N83" s="453"/>
      <c r="O83" s="453"/>
      <c r="P83" s="453"/>
      <c r="Q83" s="453"/>
      <c r="R83" s="453"/>
      <c r="S83" s="453"/>
      <c r="T83" s="453"/>
      <c r="U83" s="453"/>
      <c r="V83" s="453"/>
      <c r="W83" s="453"/>
      <c r="X83" s="453"/>
      <c r="Y83" s="453"/>
      <c r="Z83" s="453"/>
      <c r="AA83" s="453"/>
    </row>
    <row r="84" spans="1:27" s="583" customFormat="1" x14ac:dyDescent="0.25">
      <c r="A84" s="608"/>
      <c r="B84" s="608"/>
      <c r="C84" s="608"/>
      <c r="D84" s="608"/>
      <c r="E84" s="609"/>
      <c r="F84" s="609"/>
      <c r="G84" s="609"/>
      <c r="H84" s="609"/>
      <c r="I84" s="609"/>
      <c r="J84" s="609"/>
      <c r="K84" s="609"/>
      <c r="M84" s="453"/>
      <c r="N84" s="453"/>
      <c r="O84" s="453"/>
      <c r="P84" s="453"/>
      <c r="Q84" s="453"/>
      <c r="R84" s="453"/>
      <c r="S84" s="453"/>
      <c r="T84" s="453"/>
      <c r="U84" s="453"/>
      <c r="V84" s="453"/>
      <c r="W84" s="453"/>
      <c r="X84" s="453"/>
      <c r="Y84" s="453"/>
      <c r="Z84" s="453"/>
      <c r="AA84" s="453"/>
    </row>
    <row r="85" spans="1:27" s="583" customFormat="1" x14ac:dyDescent="0.25">
      <c r="A85" s="608"/>
      <c r="B85" s="608"/>
      <c r="C85" s="608"/>
      <c r="D85" s="608"/>
      <c r="E85" s="609"/>
      <c r="F85" s="609"/>
      <c r="G85" s="609"/>
      <c r="H85" s="609"/>
      <c r="I85" s="609"/>
      <c r="J85" s="609"/>
      <c r="K85" s="609"/>
      <c r="M85" s="453"/>
      <c r="N85" s="453"/>
      <c r="O85" s="453"/>
      <c r="P85" s="453"/>
      <c r="Q85" s="453"/>
      <c r="R85" s="453"/>
      <c r="S85" s="453"/>
      <c r="T85" s="453"/>
      <c r="U85" s="453"/>
      <c r="V85" s="453"/>
      <c r="W85" s="453"/>
      <c r="X85" s="453"/>
      <c r="Y85" s="453"/>
      <c r="Z85" s="453"/>
      <c r="AA85" s="453"/>
    </row>
    <row r="86" spans="1:27" s="583" customFormat="1" x14ac:dyDescent="0.25">
      <c r="A86" s="608"/>
      <c r="B86" s="608"/>
      <c r="C86" s="608"/>
      <c r="D86" s="608"/>
      <c r="E86" s="609"/>
      <c r="F86" s="609"/>
      <c r="G86" s="609"/>
      <c r="H86" s="609"/>
      <c r="I86" s="609"/>
      <c r="J86" s="609"/>
      <c r="K86" s="609"/>
      <c r="M86" s="453"/>
      <c r="N86" s="453"/>
      <c r="O86" s="453"/>
      <c r="P86" s="453"/>
      <c r="Q86" s="453"/>
      <c r="R86" s="453"/>
      <c r="S86" s="453"/>
      <c r="T86" s="453"/>
      <c r="U86" s="453"/>
      <c r="V86" s="453"/>
      <c r="W86" s="453"/>
      <c r="X86" s="453"/>
      <c r="Y86" s="453"/>
      <c r="Z86" s="453"/>
      <c r="AA86" s="453"/>
    </row>
    <row r="87" spans="1:27" s="583" customFormat="1" x14ac:dyDescent="0.25">
      <c r="A87" s="608"/>
      <c r="B87" s="608"/>
      <c r="C87" s="608"/>
      <c r="D87" s="608"/>
      <c r="E87" s="609"/>
      <c r="F87" s="609"/>
      <c r="G87" s="609"/>
      <c r="H87" s="609"/>
      <c r="I87" s="609"/>
      <c r="J87" s="609"/>
      <c r="K87" s="609"/>
      <c r="M87" s="453"/>
      <c r="N87" s="453"/>
      <c r="O87" s="453"/>
      <c r="P87" s="453"/>
      <c r="Q87" s="453"/>
      <c r="R87" s="453"/>
      <c r="S87" s="453"/>
      <c r="T87" s="453"/>
      <c r="U87" s="453"/>
      <c r="V87" s="453"/>
      <c r="W87" s="453"/>
      <c r="X87" s="453"/>
      <c r="Y87" s="453"/>
      <c r="Z87" s="453"/>
      <c r="AA87" s="453"/>
    </row>
    <row r="88" spans="1:27" s="583" customFormat="1" x14ac:dyDescent="0.25">
      <c r="A88" s="608"/>
      <c r="B88" s="608"/>
      <c r="C88" s="608"/>
      <c r="D88" s="608"/>
      <c r="E88" s="609"/>
      <c r="F88" s="609"/>
      <c r="G88" s="609"/>
      <c r="H88" s="609"/>
      <c r="I88" s="609"/>
      <c r="J88" s="609"/>
      <c r="K88" s="609"/>
      <c r="M88" s="453"/>
      <c r="N88" s="453"/>
      <c r="O88" s="453"/>
      <c r="P88" s="453"/>
      <c r="Q88" s="453"/>
      <c r="R88" s="453"/>
      <c r="S88" s="453"/>
      <c r="T88" s="453"/>
      <c r="U88" s="453"/>
      <c r="V88" s="453"/>
      <c r="W88" s="453"/>
      <c r="X88" s="453"/>
      <c r="Y88" s="453"/>
      <c r="Z88" s="453"/>
      <c r="AA88" s="453"/>
    </row>
    <row r="89" spans="1:27" s="583" customFormat="1" x14ac:dyDescent="0.25">
      <c r="A89" s="608"/>
      <c r="B89" s="608"/>
      <c r="C89" s="608"/>
      <c r="D89" s="608"/>
      <c r="E89" s="609"/>
      <c r="F89" s="609"/>
      <c r="G89" s="609"/>
      <c r="H89" s="609"/>
      <c r="I89" s="609"/>
      <c r="J89" s="609"/>
      <c r="K89" s="609"/>
      <c r="M89" s="453"/>
      <c r="N89" s="453"/>
      <c r="O89" s="453"/>
      <c r="P89" s="453"/>
      <c r="Q89" s="453"/>
      <c r="R89" s="453"/>
      <c r="S89" s="453"/>
      <c r="T89" s="453"/>
      <c r="U89" s="453"/>
      <c r="V89" s="453"/>
      <c r="W89" s="453"/>
      <c r="X89" s="453"/>
      <c r="Y89" s="453"/>
      <c r="Z89" s="453"/>
      <c r="AA89" s="453"/>
    </row>
    <row r="90" spans="1:27" s="583" customFormat="1" x14ac:dyDescent="0.25">
      <c r="A90" s="608"/>
      <c r="B90" s="608"/>
      <c r="C90" s="608"/>
      <c r="D90" s="608"/>
      <c r="E90" s="609"/>
      <c r="F90" s="609"/>
      <c r="G90" s="609"/>
      <c r="H90" s="609"/>
      <c r="I90" s="609"/>
      <c r="J90" s="609"/>
      <c r="K90" s="609"/>
      <c r="M90" s="453"/>
      <c r="N90" s="453"/>
      <c r="O90" s="453"/>
      <c r="P90" s="453"/>
      <c r="Q90" s="453"/>
      <c r="R90" s="453"/>
      <c r="S90" s="453"/>
      <c r="T90" s="453"/>
      <c r="U90" s="453"/>
      <c r="V90" s="453"/>
      <c r="W90" s="453"/>
      <c r="X90" s="453"/>
      <c r="Y90" s="453"/>
      <c r="Z90" s="453"/>
      <c r="AA90" s="453"/>
    </row>
    <row r="91" spans="1:27" s="583" customFormat="1" x14ac:dyDescent="0.25">
      <c r="A91" s="608"/>
      <c r="B91" s="608"/>
      <c r="C91" s="608"/>
      <c r="D91" s="608"/>
      <c r="E91" s="609"/>
      <c r="F91" s="609"/>
      <c r="G91" s="609"/>
      <c r="H91" s="609"/>
      <c r="I91" s="609"/>
      <c r="J91" s="609"/>
      <c r="K91" s="609"/>
      <c r="M91" s="453"/>
      <c r="N91" s="453"/>
      <c r="O91" s="453"/>
      <c r="P91" s="453"/>
      <c r="Q91" s="453"/>
      <c r="R91" s="453"/>
      <c r="S91" s="453"/>
      <c r="T91" s="453"/>
      <c r="U91" s="453"/>
      <c r="V91" s="453"/>
      <c r="W91" s="453"/>
      <c r="X91" s="453"/>
      <c r="Y91" s="453"/>
      <c r="Z91" s="453"/>
      <c r="AA91" s="453"/>
    </row>
    <row r="92" spans="1:27" s="583" customFormat="1" x14ac:dyDescent="0.25">
      <c r="A92" s="608"/>
      <c r="B92" s="608"/>
      <c r="C92" s="608"/>
      <c r="D92" s="608"/>
      <c r="E92" s="609"/>
      <c r="F92" s="609"/>
      <c r="G92" s="609"/>
      <c r="H92" s="609"/>
      <c r="I92" s="609"/>
      <c r="J92" s="609"/>
      <c r="K92" s="609"/>
      <c r="M92" s="453"/>
      <c r="N92" s="453"/>
      <c r="O92" s="453"/>
      <c r="P92" s="453"/>
      <c r="Q92" s="453"/>
      <c r="R92" s="453"/>
      <c r="S92" s="453"/>
      <c r="T92" s="453"/>
      <c r="U92" s="453"/>
      <c r="V92" s="453"/>
      <c r="W92" s="453"/>
      <c r="X92" s="453"/>
      <c r="Y92" s="453"/>
      <c r="Z92" s="453"/>
      <c r="AA92" s="453"/>
    </row>
    <row r="93" spans="1:27" s="583" customFormat="1" x14ac:dyDescent="0.25">
      <c r="A93" s="608"/>
      <c r="B93" s="608"/>
      <c r="C93" s="608"/>
      <c r="D93" s="608"/>
      <c r="E93" s="609"/>
      <c r="F93" s="609"/>
      <c r="G93" s="609"/>
      <c r="H93" s="609"/>
      <c r="I93" s="609"/>
      <c r="J93" s="609"/>
      <c r="K93" s="609"/>
      <c r="M93" s="453"/>
      <c r="N93" s="453"/>
      <c r="O93" s="453"/>
      <c r="P93" s="453"/>
      <c r="Q93" s="453"/>
      <c r="R93" s="453"/>
      <c r="S93" s="453"/>
      <c r="T93" s="453"/>
      <c r="U93" s="453"/>
      <c r="V93" s="453"/>
      <c r="W93" s="453"/>
      <c r="X93" s="453"/>
      <c r="Y93" s="453"/>
      <c r="Z93" s="453"/>
      <c r="AA93" s="453"/>
    </row>
    <row r="94" spans="1:27" s="583" customFormat="1" x14ac:dyDescent="0.25">
      <c r="A94" s="608"/>
      <c r="B94" s="608"/>
      <c r="C94" s="608"/>
      <c r="D94" s="608"/>
      <c r="E94" s="609"/>
      <c r="F94" s="609"/>
      <c r="G94" s="609"/>
      <c r="H94" s="609"/>
      <c r="I94" s="609"/>
      <c r="J94" s="609"/>
      <c r="K94" s="609"/>
      <c r="M94" s="453"/>
      <c r="N94" s="453"/>
      <c r="O94" s="453"/>
      <c r="P94" s="453"/>
      <c r="Q94" s="453"/>
      <c r="R94" s="453"/>
      <c r="S94" s="453"/>
      <c r="T94" s="453"/>
      <c r="U94" s="453"/>
      <c r="V94" s="453"/>
      <c r="W94" s="453"/>
      <c r="X94" s="453"/>
      <c r="Y94" s="453"/>
      <c r="Z94" s="453"/>
      <c r="AA94" s="453"/>
    </row>
    <row r="95" spans="1:27" s="583" customFormat="1" x14ac:dyDescent="0.25">
      <c r="A95" s="608"/>
      <c r="B95" s="608"/>
      <c r="C95" s="608"/>
      <c r="D95" s="608"/>
      <c r="E95" s="609"/>
      <c r="F95" s="609"/>
      <c r="G95" s="609"/>
      <c r="H95" s="609"/>
      <c r="I95" s="609"/>
      <c r="J95" s="609"/>
      <c r="K95" s="609"/>
      <c r="M95" s="453"/>
      <c r="N95" s="453"/>
      <c r="O95" s="453"/>
      <c r="P95" s="453"/>
      <c r="Q95" s="453"/>
      <c r="R95" s="453"/>
      <c r="S95" s="453"/>
      <c r="T95" s="453"/>
      <c r="U95" s="453"/>
      <c r="V95" s="453"/>
      <c r="W95" s="453"/>
      <c r="X95" s="453"/>
      <c r="Y95" s="453"/>
      <c r="Z95" s="453"/>
      <c r="AA95" s="453"/>
    </row>
    <row r="96" spans="1:27" s="583" customFormat="1" x14ac:dyDescent="0.25">
      <c r="A96" s="608"/>
      <c r="B96" s="608"/>
      <c r="C96" s="608"/>
      <c r="D96" s="608"/>
      <c r="E96" s="609"/>
      <c r="F96" s="609"/>
      <c r="G96" s="609"/>
      <c r="H96" s="609"/>
      <c r="I96" s="609"/>
      <c r="J96" s="609"/>
      <c r="K96" s="609"/>
      <c r="M96" s="453"/>
      <c r="N96" s="453"/>
      <c r="O96" s="453"/>
      <c r="P96" s="453"/>
      <c r="Q96" s="453"/>
      <c r="R96" s="453"/>
      <c r="S96" s="453"/>
      <c r="T96" s="453"/>
      <c r="U96" s="453"/>
      <c r="V96" s="453"/>
      <c r="W96" s="453"/>
      <c r="X96" s="453"/>
      <c r="Y96" s="453"/>
      <c r="Z96" s="453"/>
      <c r="AA96" s="453"/>
    </row>
    <row r="97" spans="1:27" s="583" customFormat="1" x14ac:dyDescent="0.25">
      <c r="A97" s="608"/>
      <c r="B97" s="608"/>
      <c r="C97" s="608"/>
      <c r="D97" s="608"/>
      <c r="E97" s="609"/>
      <c r="F97" s="609"/>
      <c r="G97" s="609"/>
      <c r="H97" s="609"/>
      <c r="I97" s="609"/>
      <c r="J97" s="609"/>
      <c r="K97" s="609"/>
      <c r="M97" s="453"/>
      <c r="N97" s="453"/>
      <c r="O97" s="453"/>
      <c r="P97" s="453"/>
      <c r="Q97" s="453"/>
      <c r="R97" s="453"/>
      <c r="S97" s="453"/>
      <c r="T97" s="453"/>
      <c r="U97" s="453"/>
      <c r="V97" s="453"/>
      <c r="W97" s="453"/>
      <c r="X97" s="453"/>
      <c r="Y97" s="453"/>
      <c r="Z97" s="453"/>
      <c r="AA97" s="453"/>
    </row>
    <row r="98" spans="1:27" s="583" customFormat="1" x14ac:dyDescent="0.25">
      <c r="A98" s="608"/>
      <c r="B98" s="608"/>
      <c r="C98" s="608"/>
      <c r="D98" s="608"/>
      <c r="E98" s="609"/>
      <c r="F98" s="609"/>
      <c r="G98" s="609"/>
      <c r="H98" s="609"/>
      <c r="I98" s="609"/>
      <c r="J98" s="609"/>
      <c r="K98" s="609"/>
      <c r="M98" s="453"/>
      <c r="N98" s="453"/>
      <c r="O98" s="453"/>
      <c r="P98" s="453"/>
      <c r="Q98" s="453"/>
      <c r="R98" s="453"/>
      <c r="S98" s="453"/>
      <c r="T98" s="453"/>
      <c r="U98" s="453"/>
      <c r="V98" s="453"/>
      <c r="W98" s="453"/>
      <c r="X98" s="453"/>
      <c r="Y98" s="453"/>
      <c r="Z98" s="453"/>
      <c r="AA98" s="453"/>
    </row>
    <row r="99" spans="1:27" s="583" customFormat="1" x14ac:dyDescent="0.25">
      <c r="A99" s="608"/>
      <c r="B99" s="608"/>
      <c r="C99" s="608"/>
      <c r="D99" s="608"/>
      <c r="E99" s="609"/>
      <c r="F99" s="609"/>
      <c r="G99" s="609"/>
      <c r="H99" s="609"/>
      <c r="I99" s="609"/>
      <c r="J99" s="609"/>
      <c r="K99" s="609"/>
      <c r="M99" s="453"/>
      <c r="N99" s="453"/>
      <c r="O99" s="453"/>
      <c r="P99" s="453"/>
      <c r="Q99" s="453"/>
      <c r="R99" s="453"/>
      <c r="S99" s="453"/>
      <c r="T99" s="453"/>
      <c r="U99" s="453"/>
      <c r="V99" s="453"/>
      <c r="W99" s="453"/>
      <c r="X99" s="453"/>
      <c r="Y99" s="453"/>
      <c r="Z99" s="453"/>
      <c r="AA99" s="453"/>
    </row>
    <row r="100" spans="1:27" s="583" customFormat="1" x14ac:dyDescent="0.25">
      <c r="A100" s="608"/>
      <c r="B100" s="608"/>
      <c r="C100" s="608"/>
      <c r="D100" s="608"/>
      <c r="E100" s="609"/>
      <c r="F100" s="609"/>
      <c r="G100" s="609"/>
      <c r="H100" s="609"/>
      <c r="I100" s="609"/>
      <c r="J100" s="609"/>
      <c r="K100" s="609"/>
      <c r="M100" s="453"/>
      <c r="N100" s="453"/>
      <c r="O100" s="453"/>
      <c r="P100" s="453"/>
      <c r="Q100" s="453"/>
      <c r="R100" s="453"/>
      <c r="S100" s="453"/>
      <c r="T100" s="453"/>
      <c r="U100" s="453"/>
      <c r="V100" s="453"/>
      <c r="W100" s="453"/>
      <c r="X100" s="453"/>
      <c r="Y100" s="453"/>
      <c r="Z100" s="453"/>
      <c r="AA100" s="453"/>
    </row>
    <row r="101" spans="1:27" s="583" customFormat="1" x14ac:dyDescent="0.25">
      <c r="A101" s="608"/>
      <c r="B101" s="608"/>
      <c r="C101" s="608"/>
      <c r="D101" s="608"/>
      <c r="E101" s="609"/>
      <c r="F101" s="609"/>
      <c r="G101" s="609"/>
      <c r="H101" s="609"/>
      <c r="I101" s="609"/>
      <c r="J101" s="609"/>
      <c r="K101" s="609"/>
      <c r="M101" s="453"/>
      <c r="N101" s="453"/>
      <c r="O101" s="453"/>
      <c r="P101" s="453"/>
      <c r="Q101" s="453"/>
      <c r="R101" s="453"/>
      <c r="S101" s="453"/>
      <c r="T101" s="453"/>
      <c r="U101" s="453"/>
      <c r="V101" s="453"/>
      <c r="W101" s="453"/>
      <c r="X101" s="453"/>
      <c r="Y101" s="453"/>
      <c r="Z101" s="453"/>
      <c r="AA101" s="453"/>
    </row>
    <row r="102" spans="1:27" s="583" customFormat="1" x14ac:dyDescent="0.25">
      <c r="A102" s="608"/>
      <c r="B102" s="608"/>
      <c r="C102" s="608"/>
      <c r="D102" s="608"/>
      <c r="E102" s="609"/>
      <c r="F102" s="609"/>
      <c r="G102" s="609"/>
      <c r="H102" s="609"/>
      <c r="I102" s="609"/>
      <c r="J102" s="609"/>
      <c r="K102" s="609"/>
      <c r="M102" s="453"/>
      <c r="N102" s="453"/>
      <c r="O102" s="453"/>
      <c r="P102" s="453"/>
      <c r="Q102" s="453"/>
      <c r="R102" s="453"/>
      <c r="S102" s="453"/>
      <c r="T102" s="453"/>
      <c r="U102" s="453"/>
      <c r="V102" s="453"/>
      <c r="W102" s="453"/>
      <c r="X102" s="453"/>
      <c r="Y102" s="453"/>
      <c r="Z102" s="453"/>
      <c r="AA102" s="453"/>
    </row>
    <row r="103" spans="1:27" s="583" customFormat="1" x14ac:dyDescent="0.25">
      <c r="A103" s="608"/>
      <c r="B103" s="608"/>
      <c r="C103" s="608"/>
      <c r="D103" s="608"/>
      <c r="E103" s="609"/>
      <c r="F103" s="609"/>
      <c r="G103" s="609"/>
      <c r="H103" s="609"/>
      <c r="I103" s="609"/>
      <c r="J103" s="609"/>
      <c r="K103" s="609"/>
      <c r="M103" s="453"/>
      <c r="N103" s="453"/>
      <c r="O103" s="453"/>
      <c r="P103" s="453"/>
      <c r="Q103" s="453"/>
      <c r="R103" s="453"/>
      <c r="S103" s="453"/>
      <c r="T103" s="453"/>
      <c r="U103" s="453"/>
      <c r="V103" s="453"/>
      <c r="W103" s="453"/>
      <c r="X103" s="453"/>
      <c r="Y103" s="453"/>
      <c r="Z103" s="453"/>
      <c r="AA103" s="453"/>
    </row>
    <row r="104" spans="1:27" s="583" customFormat="1" x14ac:dyDescent="0.25">
      <c r="A104" s="608"/>
      <c r="B104" s="608"/>
      <c r="C104" s="608"/>
      <c r="D104" s="608"/>
      <c r="E104" s="609"/>
      <c r="F104" s="609"/>
      <c r="G104" s="609"/>
      <c r="H104" s="609"/>
      <c r="I104" s="609"/>
      <c r="J104" s="609"/>
      <c r="K104" s="609"/>
      <c r="M104" s="453"/>
      <c r="N104" s="453"/>
      <c r="O104" s="453"/>
      <c r="P104" s="453"/>
      <c r="Q104" s="453"/>
      <c r="R104" s="453"/>
      <c r="S104" s="453"/>
      <c r="T104" s="453"/>
      <c r="U104" s="453"/>
      <c r="V104" s="453"/>
      <c r="W104" s="453"/>
      <c r="X104" s="453"/>
      <c r="Y104" s="453"/>
      <c r="Z104" s="453"/>
      <c r="AA104" s="453"/>
    </row>
    <row r="105" spans="1:27" s="583" customFormat="1" x14ac:dyDescent="0.25">
      <c r="A105" s="608"/>
      <c r="B105" s="608"/>
      <c r="C105" s="608"/>
      <c r="D105" s="608"/>
      <c r="E105" s="609"/>
      <c r="F105" s="609"/>
      <c r="G105" s="609"/>
      <c r="H105" s="609"/>
      <c r="I105" s="609"/>
      <c r="J105" s="609"/>
      <c r="K105" s="609"/>
      <c r="M105" s="453"/>
      <c r="N105" s="453"/>
      <c r="O105" s="453"/>
      <c r="P105" s="453"/>
      <c r="Q105" s="453"/>
      <c r="R105" s="453"/>
      <c r="S105" s="453"/>
      <c r="T105" s="453"/>
      <c r="U105" s="453"/>
      <c r="V105" s="453"/>
      <c r="W105" s="453"/>
      <c r="X105" s="453"/>
      <c r="Y105" s="453"/>
      <c r="Z105" s="453"/>
      <c r="AA105" s="453"/>
    </row>
    <row r="106" spans="1:27" s="583" customFormat="1" x14ac:dyDescent="0.25">
      <c r="A106" s="608"/>
      <c r="B106" s="608"/>
      <c r="C106" s="608"/>
      <c r="D106" s="608"/>
      <c r="E106" s="609"/>
      <c r="F106" s="609"/>
      <c r="G106" s="609"/>
      <c r="H106" s="609"/>
      <c r="I106" s="609"/>
      <c r="J106" s="609"/>
      <c r="K106" s="609"/>
      <c r="M106" s="453"/>
      <c r="N106" s="453"/>
      <c r="O106" s="453"/>
      <c r="P106" s="453"/>
      <c r="Q106" s="453"/>
      <c r="R106" s="453"/>
      <c r="S106" s="453"/>
      <c r="T106" s="453"/>
      <c r="U106" s="453"/>
      <c r="V106" s="453"/>
      <c r="W106" s="453"/>
      <c r="X106" s="453"/>
      <c r="Y106" s="453"/>
      <c r="Z106" s="453"/>
      <c r="AA106" s="453"/>
    </row>
    <row r="107" spans="1:27" s="583" customFormat="1" x14ac:dyDescent="0.25">
      <c r="A107" s="608"/>
      <c r="B107" s="608"/>
      <c r="C107" s="608"/>
      <c r="D107" s="608"/>
      <c r="E107" s="609"/>
      <c r="F107" s="609"/>
      <c r="G107" s="609"/>
      <c r="H107" s="609"/>
      <c r="I107" s="609"/>
      <c r="J107" s="609"/>
      <c r="K107" s="609"/>
      <c r="M107" s="453"/>
      <c r="N107" s="453"/>
      <c r="O107" s="453"/>
      <c r="P107" s="453"/>
      <c r="Q107" s="453"/>
      <c r="R107" s="453"/>
      <c r="S107" s="453"/>
      <c r="T107" s="453"/>
      <c r="U107" s="453"/>
      <c r="V107" s="453"/>
      <c r="W107" s="453"/>
      <c r="X107" s="453"/>
      <c r="Y107" s="453"/>
      <c r="Z107" s="453"/>
      <c r="AA107" s="453"/>
    </row>
    <row r="108" spans="1:27" s="583" customFormat="1" x14ac:dyDescent="0.25">
      <c r="A108" s="608"/>
      <c r="B108" s="608"/>
      <c r="C108" s="608"/>
      <c r="D108" s="608"/>
      <c r="E108" s="609"/>
      <c r="F108" s="609"/>
      <c r="G108" s="609"/>
      <c r="H108" s="609"/>
      <c r="I108" s="609"/>
      <c r="J108" s="609"/>
      <c r="K108" s="609"/>
      <c r="M108" s="453"/>
      <c r="N108" s="453"/>
      <c r="O108" s="453"/>
      <c r="P108" s="453"/>
      <c r="Q108" s="453"/>
      <c r="R108" s="453"/>
      <c r="S108" s="453"/>
      <c r="T108" s="453"/>
      <c r="U108" s="453"/>
      <c r="V108" s="453"/>
      <c r="W108" s="453"/>
      <c r="X108" s="453"/>
      <c r="Y108" s="453"/>
      <c r="Z108" s="453"/>
      <c r="AA108" s="453"/>
    </row>
    <row r="109" spans="1:27" s="583" customFormat="1" x14ac:dyDescent="0.25">
      <c r="A109" s="608"/>
      <c r="B109" s="608"/>
      <c r="C109" s="608"/>
      <c r="D109" s="608"/>
      <c r="E109" s="609"/>
      <c r="F109" s="609"/>
      <c r="G109" s="609"/>
      <c r="H109" s="609"/>
      <c r="I109" s="609"/>
      <c r="J109" s="609"/>
      <c r="K109" s="609"/>
      <c r="M109" s="453"/>
      <c r="N109" s="453"/>
      <c r="O109" s="453"/>
      <c r="P109" s="453"/>
      <c r="Q109" s="453"/>
      <c r="R109" s="453"/>
      <c r="S109" s="453"/>
      <c r="T109" s="453"/>
      <c r="U109" s="453"/>
      <c r="V109" s="453"/>
      <c r="W109" s="453"/>
      <c r="X109" s="453"/>
      <c r="Y109" s="453"/>
      <c r="Z109" s="453"/>
      <c r="AA109" s="453"/>
    </row>
    <row r="110" spans="1:27" s="583" customFormat="1" x14ac:dyDescent="0.25">
      <c r="A110" s="608"/>
      <c r="B110" s="608"/>
      <c r="C110" s="608"/>
      <c r="D110" s="608"/>
      <c r="E110" s="609"/>
      <c r="F110" s="609"/>
      <c r="G110" s="609"/>
      <c r="H110" s="609"/>
      <c r="I110" s="609"/>
      <c r="J110" s="609"/>
      <c r="K110" s="609"/>
      <c r="M110" s="453"/>
      <c r="N110" s="453"/>
      <c r="O110" s="453"/>
      <c r="P110" s="453"/>
      <c r="Q110" s="453"/>
      <c r="R110" s="453"/>
      <c r="S110" s="453"/>
      <c r="T110" s="453"/>
      <c r="U110" s="453"/>
      <c r="V110" s="453"/>
      <c r="W110" s="453"/>
      <c r="X110" s="453"/>
      <c r="Y110" s="453"/>
      <c r="Z110" s="453"/>
      <c r="AA110" s="453"/>
    </row>
    <row r="111" spans="1:27" s="583" customFormat="1" x14ac:dyDescent="0.25">
      <c r="A111" s="608"/>
      <c r="B111" s="608"/>
      <c r="C111" s="608"/>
      <c r="D111" s="608"/>
      <c r="E111" s="609"/>
      <c r="F111" s="609"/>
      <c r="G111" s="609"/>
      <c r="H111" s="609"/>
      <c r="I111" s="609"/>
      <c r="J111" s="609"/>
      <c r="K111" s="609"/>
      <c r="M111" s="453"/>
      <c r="N111" s="453"/>
      <c r="O111" s="453"/>
      <c r="P111" s="453"/>
      <c r="Q111" s="453"/>
      <c r="R111" s="453"/>
      <c r="S111" s="453"/>
      <c r="T111" s="453"/>
      <c r="U111" s="453"/>
      <c r="V111" s="453"/>
      <c r="W111" s="453"/>
      <c r="X111" s="453"/>
      <c r="Y111" s="453"/>
      <c r="Z111" s="453"/>
      <c r="AA111" s="453"/>
    </row>
    <row r="112" spans="1:27" s="583" customFormat="1" x14ac:dyDescent="0.25">
      <c r="A112" s="608"/>
      <c r="B112" s="608"/>
      <c r="C112" s="608"/>
      <c r="D112" s="608"/>
      <c r="E112" s="609"/>
      <c r="F112" s="609"/>
      <c r="G112" s="609"/>
      <c r="H112" s="609"/>
      <c r="I112" s="609"/>
      <c r="J112" s="609"/>
      <c r="K112" s="609"/>
      <c r="M112" s="453"/>
      <c r="N112" s="453"/>
      <c r="O112" s="453"/>
      <c r="P112" s="453"/>
      <c r="Q112" s="453"/>
      <c r="R112" s="453"/>
      <c r="S112" s="453"/>
      <c r="T112" s="453"/>
      <c r="U112" s="453"/>
      <c r="V112" s="453"/>
      <c r="W112" s="453"/>
      <c r="X112" s="453"/>
      <c r="Y112" s="453"/>
      <c r="Z112" s="453"/>
      <c r="AA112" s="453"/>
    </row>
    <row r="113" spans="1:27" s="583" customFormat="1" x14ac:dyDescent="0.25">
      <c r="A113" s="608"/>
      <c r="B113" s="608"/>
      <c r="C113" s="608"/>
      <c r="D113" s="608"/>
      <c r="E113" s="609"/>
      <c r="F113" s="609"/>
      <c r="G113" s="609"/>
      <c r="H113" s="609"/>
      <c r="I113" s="609"/>
      <c r="J113" s="609"/>
      <c r="K113" s="609"/>
      <c r="M113" s="453"/>
      <c r="N113" s="453"/>
      <c r="O113" s="453"/>
      <c r="P113" s="453"/>
      <c r="Q113" s="453"/>
      <c r="R113" s="453"/>
      <c r="S113" s="453"/>
      <c r="T113" s="453"/>
      <c r="U113" s="453"/>
      <c r="V113" s="453"/>
      <c r="W113" s="453"/>
      <c r="X113" s="453"/>
      <c r="Y113" s="453"/>
      <c r="Z113" s="453"/>
      <c r="AA113" s="453"/>
    </row>
    <row r="114" spans="1:27" s="583" customFormat="1" x14ac:dyDescent="0.25">
      <c r="A114" s="608"/>
      <c r="B114" s="608"/>
      <c r="C114" s="608"/>
      <c r="D114" s="608"/>
      <c r="E114" s="609"/>
      <c r="F114" s="609"/>
      <c r="G114" s="609"/>
      <c r="H114" s="609"/>
      <c r="I114" s="609"/>
      <c r="J114" s="609"/>
      <c r="K114" s="609"/>
      <c r="M114" s="453"/>
      <c r="N114" s="453"/>
      <c r="O114" s="453"/>
      <c r="P114" s="453"/>
      <c r="Q114" s="453"/>
      <c r="R114" s="453"/>
      <c r="S114" s="453"/>
      <c r="T114" s="453"/>
      <c r="U114" s="453"/>
      <c r="V114" s="453"/>
      <c r="W114" s="453"/>
      <c r="X114" s="453"/>
      <c r="Y114" s="453"/>
      <c r="Z114" s="453"/>
      <c r="AA114" s="453"/>
    </row>
    <row r="115" spans="1:27" s="583" customFormat="1" x14ac:dyDescent="0.25">
      <c r="A115" s="608"/>
      <c r="B115" s="608"/>
      <c r="C115" s="608"/>
      <c r="D115" s="608"/>
      <c r="E115" s="609"/>
      <c r="F115" s="609"/>
      <c r="G115" s="609"/>
      <c r="H115" s="609"/>
      <c r="I115" s="609"/>
      <c r="J115" s="609"/>
      <c r="K115" s="609"/>
      <c r="M115" s="453"/>
      <c r="N115" s="453"/>
      <c r="O115" s="453"/>
      <c r="P115" s="453"/>
      <c r="Q115" s="453"/>
      <c r="R115" s="453"/>
      <c r="S115" s="453"/>
      <c r="T115" s="453"/>
      <c r="U115" s="453"/>
      <c r="V115" s="453"/>
      <c r="W115" s="453"/>
      <c r="X115" s="453"/>
      <c r="Y115" s="453"/>
      <c r="Z115" s="453"/>
      <c r="AA115" s="453"/>
    </row>
    <row r="116" spans="1:27" s="583" customFormat="1" x14ac:dyDescent="0.25">
      <c r="A116" s="608"/>
      <c r="B116" s="608"/>
      <c r="C116" s="608"/>
      <c r="D116" s="608"/>
      <c r="E116" s="609"/>
      <c r="F116" s="609"/>
      <c r="G116" s="609"/>
      <c r="H116" s="609"/>
      <c r="I116" s="609"/>
      <c r="J116" s="609"/>
      <c r="K116" s="609"/>
      <c r="M116" s="453"/>
      <c r="N116" s="453"/>
      <c r="O116" s="453"/>
      <c r="P116" s="453"/>
      <c r="Q116" s="453"/>
      <c r="R116" s="453"/>
      <c r="S116" s="453"/>
      <c r="T116" s="453"/>
      <c r="U116" s="453"/>
      <c r="V116" s="453"/>
      <c r="W116" s="453"/>
      <c r="X116" s="453"/>
      <c r="Y116" s="453"/>
      <c r="Z116" s="453"/>
      <c r="AA116" s="453"/>
    </row>
    <row r="117" spans="1:27" s="583" customFormat="1" x14ac:dyDescent="0.25">
      <c r="A117" s="608"/>
      <c r="B117" s="608"/>
      <c r="C117" s="608"/>
      <c r="D117" s="608"/>
      <c r="E117" s="609"/>
      <c r="F117" s="609"/>
      <c r="G117" s="609"/>
      <c r="H117" s="609"/>
      <c r="I117" s="609"/>
      <c r="J117" s="609"/>
      <c r="K117" s="609"/>
      <c r="M117" s="453"/>
      <c r="N117" s="453"/>
      <c r="O117" s="453"/>
      <c r="P117" s="453"/>
      <c r="Q117" s="453"/>
      <c r="R117" s="453"/>
      <c r="S117" s="453"/>
      <c r="T117" s="453"/>
      <c r="U117" s="453"/>
      <c r="V117" s="453"/>
      <c r="W117" s="453"/>
      <c r="X117" s="453"/>
      <c r="Y117" s="453"/>
      <c r="Z117" s="453"/>
      <c r="AA117" s="453"/>
    </row>
    <row r="118" spans="1:27" s="583" customFormat="1" x14ac:dyDescent="0.25">
      <c r="A118" s="608"/>
      <c r="B118" s="608"/>
      <c r="C118" s="608"/>
      <c r="D118" s="608"/>
      <c r="E118" s="609"/>
      <c r="F118" s="609"/>
      <c r="G118" s="609"/>
      <c r="H118" s="609"/>
      <c r="I118" s="609"/>
      <c r="J118" s="609"/>
      <c r="K118" s="609"/>
      <c r="M118" s="453"/>
      <c r="N118" s="453"/>
      <c r="O118" s="453"/>
      <c r="P118" s="453"/>
      <c r="Q118" s="453"/>
      <c r="R118" s="453"/>
      <c r="S118" s="453"/>
      <c r="T118" s="453"/>
      <c r="U118" s="453"/>
      <c r="V118" s="453"/>
      <c r="W118" s="453"/>
      <c r="X118" s="453"/>
      <c r="Y118" s="453"/>
      <c r="Z118" s="453"/>
      <c r="AA118" s="453"/>
    </row>
    <row r="119" spans="1:27" s="583" customFormat="1" x14ac:dyDescent="0.25">
      <c r="A119" s="608"/>
      <c r="B119" s="608"/>
      <c r="C119" s="608"/>
      <c r="D119" s="608"/>
      <c r="E119" s="609"/>
      <c r="F119" s="609"/>
      <c r="G119" s="609"/>
      <c r="H119" s="609"/>
      <c r="I119" s="609"/>
      <c r="J119" s="609"/>
      <c r="K119" s="609"/>
      <c r="M119" s="453"/>
      <c r="N119" s="453"/>
      <c r="O119" s="453"/>
      <c r="P119" s="453"/>
      <c r="Q119" s="453"/>
      <c r="R119" s="453"/>
      <c r="S119" s="453"/>
      <c r="T119" s="453"/>
      <c r="U119" s="453"/>
      <c r="V119" s="453"/>
      <c r="W119" s="453"/>
      <c r="X119" s="453"/>
      <c r="Y119" s="453"/>
      <c r="Z119" s="453"/>
      <c r="AA119" s="453"/>
    </row>
    <row r="120" spans="1:27" s="583" customFormat="1" x14ac:dyDescent="0.25">
      <c r="A120" s="608"/>
      <c r="B120" s="608"/>
      <c r="C120" s="608"/>
      <c r="D120" s="608"/>
      <c r="E120" s="609"/>
      <c r="F120" s="609"/>
      <c r="G120" s="609"/>
      <c r="H120" s="609"/>
      <c r="I120" s="609"/>
      <c r="J120" s="609"/>
      <c r="K120" s="609"/>
      <c r="M120" s="453"/>
      <c r="N120" s="453"/>
      <c r="O120" s="453"/>
      <c r="P120" s="453"/>
      <c r="Q120" s="453"/>
      <c r="R120" s="453"/>
      <c r="S120" s="453"/>
      <c r="T120" s="453"/>
      <c r="U120" s="453"/>
      <c r="V120" s="453"/>
      <c r="W120" s="453"/>
      <c r="X120" s="453"/>
      <c r="Y120" s="453"/>
      <c r="Z120" s="453"/>
      <c r="AA120" s="453"/>
    </row>
    <row r="121" spans="1:27" s="583" customFormat="1" x14ac:dyDescent="0.25">
      <c r="A121" s="608"/>
      <c r="B121" s="608"/>
      <c r="C121" s="608"/>
      <c r="D121" s="608"/>
      <c r="E121" s="609"/>
      <c r="F121" s="609"/>
      <c r="G121" s="609"/>
      <c r="H121" s="609"/>
      <c r="I121" s="609"/>
      <c r="J121" s="609"/>
      <c r="K121" s="609"/>
      <c r="M121" s="453"/>
      <c r="N121" s="453"/>
      <c r="O121" s="453"/>
      <c r="P121" s="453"/>
      <c r="Q121" s="453"/>
      <c r="R121" s="453"/>
      <c r="S121" s="453"/>
      <c r="T121" s="453"/>
      <c r="U121" s="453"/>
      <c r="V121" s="453"/>
      <c r="W121" s="453"/>
      <c r="X121" s="453"/>
      <c r="Y121" s="453"/>
      <c r="Z121" s="453"/>
      <c r="AA121" s="453"/>
    </row>
    <row r="122" spans="1:27" s="583" customFormat="1" x14ac:dyDescent="0.25">
      <c r="A122" s="608"/>
      <c r="B122" s="608"/>
      <c r="C122" s="608"/>
      <c r="D122" s="608"/>
      <c r="E122" s="609"/>
      <c r="F122" s="609"/>
      <c r="G122" s="609"/>
      <c r="H122" s="609"/>
      <c r="I122" s="609"/>
      <c r="J122" s="609"/>
      <c r="K122" s="609"/>
      <c r="M122" s="453"/>
      <c r="N122" s="453"/>
      <c r="O122" s="453"/>
      <c r="P122" s="453"/>
      <c r="Q122" s="453"/>
      <c r="R122" s="453"/>
      <c r="S122" s="453"/>
      <c r="T122" s="453"/>
      <c r="U122" s="453"/>
      <c r="V122" s="453"/>
      <c r="W122" s="453"/>
      <c r="X122" s="453"/>
      <c r="Y122" s="453"/>
      <c r="Z122" s="453"/>
      <c r="AA122" s="453"/>
    </row>
    <row r="123" spans="1:27" s="583" customFormat="1" x14ac:dyDescent="0.25">
      <c r="A123" s="608"/>
      <c r="B123" s="608"/>
      <c r="C123" s="608"/>
      <c r="D123" s="608"/>
      <c r="E123" s="609"/>
      <c r="F123" s="609"/>
      <c r="G123" s="609"/>
      <c r="H123" s="609"/>
      <c r="I123" s="609"/>
      <c r="J123" s="609"/>
      <c r="K123" s="609"/>
      <c r="M123" s="453"/>
      <c r="N123" s="453"/>
      <c r="O123" s="453"/>
      <c r="P123" s="453"/>
      <c r="Q123" s="453"/>
      <c r="R123" s="453"/>
      <c r="S123" s="453"/>
      <c r="T123" s="453"/>
      <c r="U123" s="453"/>
      <c r="V123" s="453"/>
      <c r="W123" s="453"/>
      <c r="X123" s="453"/>
      <c r="Y123" s="453"/>
      <c r="Z123" s="453"/>
      <c r="AA123" s="453"/>
    </row>
    <row r="124" spans="1:27" s="583" customFormat="1" x14ac:dyDescent="0.25">
      <c r="A124" s="608"/>
      <c r="B124" s="608"/>
      <c r="C124" s="608"/>
      <c r="D124" s="608"/>
      <c r="E124" s="609"/>
      <c r="F124" s="609"/>
      <c r="G124" s="609"/>
      <c r="H124" s="609"/>
      <c r="I124" s="609"/>
      <c r="J124" s="609"/>
      <c r="K124" s="609"/>
      <c r="M124" s="453"/>
      <c r="N124" s="453"/>
      <c r="O124" s="453"/>
      <c r="P124" s="453"/>
      <c r="Q124" s="453"/>
      <c r="R124" s="453"/>
      <c r="S124" s="453"/>
      <c r="T124" s="453"/>
      <c r="U124" s="453"/>
      <c r="V124" s="453"/>
      <c r="W124" s="453"/>
      <c r="X124" s="453"/>
      <c r="Y124" s="453"/>
      <c r="Z124" s="453"/>
      <c r="AA124" s="453"/>
    </row>
    <row r="125" spans="1:27" s="583" customFormat="1" x14ac:dyDescent="0.25">
      <c r="A125" s="608"/>
      <c r="B125" s="608"/>
      <c r="C125" s="608"/>
      <c r="D125" s="608"/>
      <c r="E125" s="609"/>
      <c r="F125" s="609"/>
      <c r="G125" s="609"/>
      <c r="H125" s="609"/>
      <c r="I125" s="609"/>
      <c r="J125" s="609"/>
      <c r="K125" s="609"/>
      <c r="M125" s="453"/>
      <c r="N125" s="453"/>
      <c r="O125" s="453"/>
      <c r="P125" s="453"/>
      <c r="Q125" s="453"/>
      <c r="R125" s="453"/>
      <c r="S125" s="453"/>
      <c r="T125" s="453"/>
      <c r="U125" s="453"/>
      <c r="V125" s="453"/>
      <c r="W125" s="453"/>
      <c r="X125" s="453"/>
      <c r="Y125" s="453"/>
      <c r="Z125" s="453"/>
      <c r="AA125" s="453"/>
    </row>
    <row r="126" spans="1:27" s="583" customFormat="1" x14ac:dyDescent="0.25">
      <c r="A126" s="608"/>
      <c r="B126" s="608"/>
      <c r="C126" s="608"/>
      <c r="D126" s="608"/>
      <c r="E126" s="609"/>
      <c r="F126" s="609"/>
      <c r="G126" s="609"/>
      <c r="H126" s="609"/>
      <c r="I126" s="609"/>
      <c r="J126" s="609"/>
      <c r="K126" s="609"/>
      <c r="M126" s="453"/>
      <c r="N126" s="453"/>
      <c r="O126" s="453"/>
      <c r="P126" s="453"/>
      <c r="Q126" s="453"/>
      <c r="R126" s="453"/>
      <c r="S126" s="453"/>
      <c r="T126" s="453"/>
      <c r="U126" s="453"/>
      <c r="V126" s="453"/>
      <c r="W126" s="453"/>
      <c r="X126" s="453"/>
      <c r="Y126" s="453"/>
      <c r="Z126" s="453"/>
      <c r="AA126" s="453"/>
    </row>
    <row r="127" spans="1:27" s="583" customFormat="1" x14ac:dyDescent="0.25">
      <c r="A127" s="608"/>
      <c r="B127" s="608"/>
      <c r="C127" s="608"/>
      <c r="D127" s="608"/>
      <c r="E127" s="609"/>
      <c r="F127" s="609"/>
      <c r="G127" s="609"/>
      <c r="H127" s="609"/>
      <c r="I127" s="609"/>
      <c r="J127" s="609"/>
      <c r="K127" s="609"/>
      <c r="M127" s="453"/>
      <c r="N127" s="453"/>
      <c r="O127" s="453"/>
      <c r="P127" s="453"/>
      <c r="Q127" s="453"/>
      <c r="R127" s="453"/>
      <c r="S127" s="453"/>
      <c r="T127" s="453"/>
      <c r="U127" s="453"/>
      <c r="V127" s="453"/>
      <c r="W127" s="453"/>
      <c r="X127" s="453"/>
      <c r="Y127" s="453"/>
      <c r="Z127" s="453"/>
      <c r="AA127" s="453"/>
    </row>
    <row r="128" spans="1:27" s="583" customFormat="1" x14ac:dyDescent="0.25">
      <c r="A128" s="608"/>
      <c r="B128" s="608"/>
      <c r="C128" s="608"/>
      <c r="D128" s="608"/>
      <c r="E128" s="609"/>
      <c r="F128" s="609"/>
      <c r="G128" s="609"/>
      <c r="H128" s="609"/>
      <c r="I128" s="609"/>
      <c r="J128" s="609"/>
      <c r="K128" s="609"/>
      <c r="M128" s="453"/>
      <c r="N128" s="453"/>
      <c r="O128" s="453"/>
      <c r="P128" s="453"/>
      <c r="Q128" s="453"/>
      <c r="R128" s="453"/>
      <c r="S128" s="453"/>
      <c r="T128" s="453"/>
      <c r="U128" s="453"/>
      <c r="V128" s="453"/>
      <c r="W128" s="453"/>
      <c r="X128" s="453"/>
      <c r="Y128" s="453"/>
      <c r="Z128" s="453"/>
      <c r="AA128" s="453"/>
    </row>
    <row r="129" spans="1:27" s="583" customFormat="1" x14ac:dyDescent="0.25">
      <c r="A129" s="608"/>
      <c r="B129" s="608"/>
      <c r="C129" s="608"/>
      <c r="D129" s="608"/>
      <c r="E129" s="609"/>
      <c r="F129" s="609"/>
      <c r="G129" s="609"/>
      <c r="H129" s="609"/>
      <c r="I129" s="609"/>
      <c r="J129" s="609"/>
      <c r="K129" s="609"/>
      <c r="M129" s="453"/>
      <c r="N129" s="453"/>
      <c r="O129" s="453"/>
      <c r="P129" s="453"/>
      <c r="Q129" s="453"/>
      <c r="R129" s="453"/>
      <c r="S129" s="453"/>
      <c r="T129" s="453"/>
      <c r="U129" s="453"/>
      <c r="V129" s="453"/>
      <c r="W129" s="453"/>
      <c r="X129" s="453"/>
      <c r="Y129" s="453"/>
      <c r="Z129" s="453"/>
      <c r="AA129" s="453"/>
    </row>
    <row r="130" spans="1:27" s="583" customFormat="1" x14ac:dyDescent="0.25">
      <c r="A130" s="608"/>
      <c r="B130" s="608"/>
      <c r="C130" s="608"/>
      <c r="D130" s="608"/>
      <c r="E130" s="609"/>
      <c r="F130" s="609"/>
      <c r="G130" s="609"/>
      <c r="H130" s="609"/>
      <c r="I130" s="609"/>
      <c r="J130" s="609"/>
      <c r="K130" s="609"/>
      <c r="M130" s="453"/>
      <c r="N130" s="453"/>
      <c r="O130" s="453"/>
      <c r="P130" s="453"/>
      <c r="Q130" s="453"/>
      <c r="R130" s="453"/>
      <c r="S130" s="453"/>
      <c r="T130" s="453"/>
      <c r="U130" s="453"/>
      <c r="V130" s="453"/>
      <c r="W130" s="453"/>
      <c r="X130" s="453"/>
      <c r="Y130" s="453"/>
      <c r="Z130" s="453"/>
      <c r="AA130" s="453"/>
    </row>
    <row r="131" spans="1:27" s="583" customFormat="1" x14ac:dyDescent="0.25">
      <c r="A131" s="608"/>
      <c r="B131" s="608"/>
      <c r="C131" s="608"/>
      <c r="D131" s="608"/>
      <c r="E131" s="609"/>
      <c r="F131" s="609"/>
      <c r="G131" s="609"/>
      <c r="H131" s="609"/>
      <c r="I131" s="609"/>
      <c r="J131" s="609"/>
      <c r="K131" s="609"/>
      <c r="M131" s="453"/>
      <c r="N131" s="453"/>
      <c r="O131" s="453"/>
      <c r="P131" s="453"/>
      <c r="Q131" s="453"/>
      <c r="R131" s="453"/>
      <c r="S131" s="453"/>
      <c r="T131" s="453"/>
      <c r="U131" s="453"/>
      <c r="V131" s="453"/>
      <c r="W131" s="453"/>
      <c r="X131" s="453"/>
      <c r="Y131" s="453"/>
      <c r="Z131" s="453"/>
      <c r="AA131" s="453"/>
    </row>
    <row r="132" spans="1:27" s="583" customFormat="1" x14ac:dyDescent="0.25">
      <c r="A132" s="608"/>
      <c r="B132" s="608"/>
      <c r="C132" s="608"/>
      <c r="D132" s="608"/>
      <c r="E132" s="609"/>
      <c r="F132" s="609"/>
      <c r="G132" s="609"/>
      <c r="H132" s="609"/>
      <c r="I132" s="609"/>
      <c r="J132" s="609"/>
      <c r="K132" s="609"/>
      <c r="M132" s="453"/>
      <c r="N132" s="453"/>
      <c r="O132" s="453"/>
      <c r="P132" s="453"/>
      <c r="Q132" s="453"/>
      <c r="R132" s="453"/>
      <c r="S132" s="453"/>
      <c r="T132" s="453"/>
      <c r="U132" s="453"/>
      <c r="V132" s="453"/>
      <c r="W132" s="453"/>
      <c r="X132" s="453"/>
      <c r="Y132" s="453"/>
      <c r="Z132" s="453"/>
      <c r="AA132" s="453"/>
    </row>
    <row r="133" spans="1:27" s="583" customFormat="1" x14ac:dyDescent="0.25">
      <c r="A133" s="608"/>
      <c r="B133" s="608"/>
      <c r="C133" s="608"/>
      <c r="D133" s="608"/>
      <c r="E133" s="609"/>
      <c r="F133" s="609"/>
      <c r="G133" s="609"/>
      <c r="H133" s="609"/>
      <c r="I133" s="609"/>
      <c r="J133" s="609"/>
      <c r="K133" s="609"/>
      <c r="M133" s="453"/>
      <c r="N133" s="453"/>
      <c r="O133" s="453"/>
      <c r="P133" s="453"/>
      <c r="Q133" s="453"/>
      <c r="R133" s="453"/>
      <c r="S133" s="453"/>
      <c r="T133" s="453"/>
      <c r="U133" s="453"/>
      <c r="V133" s="453"/>
      <c r="W133" s="453"/>
      <c r="X133" s="453"/>
      <c r="Y133" s="453"/>
      <c r="Z133" s="453"/>
      <c r="AA133" s="453"/>
    </row>
    <row r="134" spans="1:27" s="583" customFormat="1" x14ac:dyDescent="0.25">
      <c r="A134" s="608"/>
      <c r="B134" s="608"/>
      <c r="C134" s="608"/>
      <c r="D134" s="608"/>
      <c r="E134" s="609"/>
      <c r="F134" s="609"/>
      <c r="G134" s="609"/>
      <c r="H134" s="609"/>
      <c r="I134" s="609"/>
      <c r="J134" s="609"/>
      <c r="K134" s="609"/>
      <c r="M134" s="453"/>
      <c r="N134" s="453"/>
      <c r="O134" s="453"/>
      <c r="P134" s="453"/>
      <c r="Q134" s="453"/>
      <c r="R134" s="453"/>
      <c r="S134" s="453"/>
      <c r="T134" s="453"/>
      <c r="U134" s="453"/>
      <c r="V134" s="453"/>
      <c r="W134" s="453"/>
      <c r="X134" s="453"/>
      <c r="Y134" s="453"/>
      <c r="Z134" s="453"/>
      <c r="AA134" s="453"/>
    </row>
    <row r="135" spans="1:27" s="583" customFormat="1" x14ac:dyDescent="0.25">
      <c r="A135" s="608"/>
      <c r="B135" s="608"/>
      <c r="C135" s="608"/>
      <c r="D135" s="608"/>
      <c r="E135" s="609"/>
      <c r="F135" s="609"/>
      <c r="G135" s="609"/>
      <c r="H135" s="609"/>
      <c r="I135" s="609"/>
      <c r="J135" s="609"/>
      <c r="K135" s="609"/>
      <c r="M135" s="453"/>
      <c r="N135" s="453"/>
      <c r="O135" s="453"/>
      <c r="P135" s="453"/>
      <c r="Q135" s="453"/>
      <c r="R135" s="453"/>
      <c r="S135" s="453"/>
      <c r="T135" s="453"/>
      <c r="U135" s="453"/>
      <c r="V135" s="453"/>
      <c r="W135" s="453"/>
      <c r="X135" s="453"/>
      <c r="Y135" s="453"/>
      <c r="Z135" s="453"/>
      <c r="AA135" s="453"/>
    </row>
    <row r="136" spans="1:27" s="583" customFormat="1" x14ac:dyDescent="0.25">
      <c r="A136" s="608"/>
      <c r="B136" s="608"/>
      <c r="C136" s="608"/>
      <c r="D136" s="608"/>
      <c r="E136" s="609"/>
      <c r="F136" s="609"/>
      <c r="G136" s="609"/>
      <c r="H136" s="609"/>
      <c r="I136" s="609"/>
      <c r="J136" s="609"/>
      <c r="K136" s="609"/>
      <c r="M136" s="453"/>
      <c r="N136" s="453"/>
      <c r="O136" s="453"/>
      <c r="P136" s="453"/>
      <c r="Q136" s="453"/>
      <c r="R136" s="453"/>
      <c r="S136" s="453"/>
      <c r="T136" s="453"/>
      <c r="U136" s="453"/>
      <c r="V136" s="453"/>
      <c r="W136" s="453"/>
      <c r="X136" s="453"/>
      <c r="Y136" s="453"/>
      <c r="Z136" s="453"/>
      <c r="AA136" s="453"/>
    </row>
    <row r="137" spans="1:27" s="583" customFormat="1" x14ac:dyDescent="0.25">
      <c r="A137" s="608"/>
      <c r="B137" s="608"/>
      <c r="C137" s="608"/>
      <c r="D137" s="608"/>
      <c r="E137" s="609"/>
      <c r="F137" s="609"/>
      <c r="G137" s="609"/>
      <c r="H137" s="609"/>
      <c r="I137" s="609"/>
      <c r="J137" s="609"/>
      <c r="K137" s="609"/>
      <c r="M137" s="453"/>
      <c r="N137" s="453"/>
      <c r="O137" s="453"/>
      <c r="P137" s="453"/>
      <c r="Q137" s="453"/>
      <c r="R137" s="453"/>
      <c r="S137" s="453"/>
      <c r="T137" s="453"/>
      <c r="U137" s="453"/>
      <c r="V137" s="453"/>
      <c r="W137" s="453"/>
      <c r="X137" s="453"/>
      <c r="Y137" s="453"/>
      <c r="Z137" s="453"/>
      <c r="AA137" s="453"/>
    </row>
    <row r="138" spans="1:27" s="583" customFormat="1" x14ac:dyDescent="0.25">
      <c r="A138" s="608"/>
      <c r="B138" s="608"/>
      <c r="C138" s="608"/>
      <c r="D138" s="608"/>
      <c r="E138" s="609"/>
      <c r="F138" s="609"/>
      <c r="G138" s="609"/>
      <c r="H138" s="609"/>
      <c r="I138" s="609"/>
      <c r="J138" s="609"/>
      <c r="K138" s="609"/>
      <c r="M138" s="453"/>
      <c r="N138" s="453"/>
      <c r="O138" s="453"/>
      <c r="P138" s="453"/>
      <c r="Q138" s="453"/>
      <c r="R138" s="453"/>
      <c r="S138" s="453"/>
      <c r="T138" s="453"/>
      <c r="U138" s="453"/>
      <c r="V138" s="453"/>
      <c r="W138" s="453"/>
      <c r="X138" s="453"/>
      <c r="Y138" s="453"/>
      <c r="Z138" s="453"/>
      <c r="AA138" s="453"/>
    </row>
    <row r="139" spans="1:27" s="583" customFormat="1" x14ac:dyDescent="0.25">
      <c r="A139" s="608"/>
      <c r="B139" s="608"/>
      <c r="C139" s="608"/>
      <c r="D139" s="608"/>
      <c r="E139" s="609"/>
      <c r="F139" s="609"/>
      <c r="G139" s="609"/>
      <c r="H139" s="609"/>
      <c r="I139" s="609"/>
      <c r="J139" s="609"/>
      <c r="K139" s="609"/>
      <c r="M139" s="453"/>
      <c r="N139" s="453"/>
      <c r="O139" s="453"/>
      <c r="P139" s="453"/>
      <c r="Q139" s="453"/>
      <c r="R139" s="453"/>
      <c r="S139" s="453"/>
      <c r="T139" s="453"/>
      <c r="U139" s="453"/>
      <c r="V139" s="453"/>
      <c r="W139" s="453"/>
      <c r="X139" s="453"/>
      <c r="Y139" s="453"/>
      <c r="Z139" s="453"/>
      <c r="AA139" s="453"/>
    </row>
    <row r="140" spans="1:27" s="583" customFormat="1" x14ac:dyDescent="0.25">
      <c r="A140" s="608"/>
      <c r="B140" s="608"/>
      <c r="C140" s="608"/>
      <c r="D140" s="608"/>
      <c r="E140" s="609"/>
      <c r="F140" s="609"/>
      <c r="G140" s="609"/>
      <c r="H140" s="609"/>
      <c r="I140" s="609"/>
      <c r="J140" s="609"/>
      <c r="K140" s="609"/>
      <c r="M140" s="453"/>
      <c r="N140" s="453"/>
      <c r="O140" s="453"/>
      <c r="P140" s="453"/>
      <c r="Q140" s="453"/>
      <c r="R140" s="453"/>
      <c r="S140" s="453"/>
      <c r="T140" s="453"/>
      <c r="U140" s="453"/>
      <c r="V140" s="453"/>
      <c r="W140" s="453"/>
      <c r="X140" s="453"/>
      <c r="Y140" s="453"/>
      <c r="Z140" s="453"/>
      <c r="AA140" s="453"/>
    </row>
    <row r="141" spans="1:27" s="583" customFormat="1" x14ac:dyDescent="0.25">
      <c r="A141" s="608"/>
      <c r="B141" s="608"/>
      <c r="C141" s="608"/>
      <c r="D141" s="608"/>
      <c r="E141" s="609"/>
      <c r="F141" s="609"/>
      <c r="G141" s="609"/>
      <c r="H141" s="609"/>
      <c r="I141" s="609"/>
      <c r="J141" s="609"/>
      <c r="K141" s="609"/>
      <c r="M141" s="453"/>
      <c r="N141" s="453"/>
      <c r="O141" s="453"/>
      <c r="P141" s="453"/>
      <c r="Q141" s="453"/>
      <c r="R141" s="453"/>
      <c r="S141" s="453"/>
      <c r="T141" s="453"/>
      <c r="U141" s="453"/>
      <c r="V141" s="453"/>
      <c r="W141" s="453"/>
      <c r="X141" s="453"/>
      <c r="Y141" s="453"/>
      <c r="Z141" s="453"/>
      <c r="AA141" s="453"/>
    </row>
    <row r="142" spans="1:27" s="583" customFormat="1" x14ac:dyDescent="0.25">
      <c r="A142" s="608"/>
      <c r="B142" s="608"/>
      <c r="C142" s="608"/>
      <c r="D142" s="608"/>
      <c r="E142" s="609"/>
      <c r="F142" s="609"/>
      <c r="G142" s="609"/>
      <c r="H142" s="609"/>
      <c r="I142" s="609"/>
      <c r="J142" s="609"/>
      <c r="K142" s="609"/>
      <c r="M142" s="453"/>
      <c r="N142" s="453"/>
      <c r="O142" s="453"/>
      <c r="P142" s="453"/>
      <c r="Q142" s="453"/>
      <c r="R142" s="453"/>
      <c r="S142" s="453"/>
      <c r="T142" s="453"/>
      <c r="U142" s="453"/>
      <c r="V142" s="453"/>
      <c r="W142" s="453"/>
      <c r="X142" s="453"/>
      <c r="Y142" s="453"/>
      <c r="Z142" s="453"/>
      <c r="AA142" s="453"/>
    </row>
    <row r="143" spans="1:27" s="583" customFormat="1" x14ac:dyDescent="0.25">
      <c r="A143" s="608"/>
      <c r="B143" s="608"/>
      <c r="C143" s="608"/>
      <c r="D143" s="608"/>
      <c r="E143" s="609"/>
      <c r="F143" s="609"/>
      <c r="G143" s="609"/>
      <c r="H143" s="609"/>
      <c r="I143" s="609"/>
      <c r="J143" s="609"/>
      <c r="K143" s="609"/>
      <c r="M143" s="453"/>
      <c r="N143" s="453"/>
      <c r="O143" s="453"/>
      <c r="P143" s="453"/>
      <c r="Q143" s="453"/>
      <c r="R143" s="453"/>
      <c r="S143" s="453"/>
      <c r="T143" s="453"/>
      <c r="U143" s="453"/>
      <c r="V143" s="453"/>
      <c r="W143" s="453"/>
      <c r="X143" s="453"/>
      <c r="Y143" s="453"/>
      <c r="Z143" s="453"/>
      <c r="AA143" s="453"/>
    </row>
    <row r="144" spans="1:27" s="583" customFormat="1" x14ac:dyDescent="0.25">
      <c r="A144" s="608"/>
      <c r="B144" s="608"/>
      <c r="C144" s="608"/>
      <c r="D144" s="608"/>
      <c r="E144" s="609"/>
      <c r="F144" s="609"/>
      <c r="G144" s="609"/>
      <c r="H144" s="609"/>
      <c r="I144" s="609"/>
      <c r="J144" s="609"/>
      <c r="K144" s="609"/>
      <c r="M144" s="453"/>
      <c r="N144" s="453"/>
      <c r="O144" s="453"/>
      <c r="P144" s="453"/>
      <c r="Q144" s="453"/>
      <c r="R144" s="453"/>
      <c r="S144" s="453"/>
      <c r="T144" s="453"/>
      <c r="U144" s="453"/>
      <c r="V144" s="453"/>
      <c r="W144" s="453"/>
      <c r="X144" s="453"/>
      <c r="Y144" s="453"/>
      <c r="Z144" s="453"/>
      <c r="AA144" s="453"/>
    </row>
    <row r="145" spans="1:27" s="583" customFormat="1" x14ac:dyDescent="0.25">
      <c r="A145" s="608"/>
      <c r="B145" s="608"/>
      <c r="C145" s="608"/>
      <c r="D145" s="608"/>
      <c r="E145" s="609"/>
      <c r="F145" s="609"/>
      <c r="G145" s="609"/>
      <c r="H145" s="609"/>
      <c r="I145" s="609"/>
      <c r="J145" s="609"/>
      <c r="K145" s="609"/>
      <c r="M145" s="453"/>
      <c r="N145" s="453"/>
      <c r="O145" s="453"/>
      <c r="P145" s="453"/>
      <c r="Q145" s="453"/>
      <c r="R145" s="453"/>
      <c r="S145" s="453"/>
      <c r="T145" s="453"/>
      <c r="U145" s="453"/>
      <c r="V145" s="453"/>
      <c r="W145" s="453"/>
      <c r="X145" s="453"/>
      <c r="Y145" s="453"/>
      <c r="Z145" s="453"/>
      <c r="AA145" s="453"/>
    </row>
    <row r="146" spans="1:27" s="583" customFormat="1" x14ac:dyDescent="0.25">
      <c r="A146" s="608"/>
      <c r="B146" s="608"/>
      <c r="C146" s="608"/>
      <c r="D146" s="608"/>
      <c r="E146" s="609"/>
      <c r="F146" s="609"/>
      <c r="G146" s="609"/>
      <c r="H146" s="609"/>
      <c r="I146" s="609"/>
      <c r="J146" s="609"/>
      <c r="K146" s="609"/>
      <c r="M146" s="453"/>
      <c r="N146" s="453"/>
      <c r="O146" s="453"/>
      <c r="P146" s="453"/>
      <c r="Q146" s="453"/>
      <c r="R146" s="453"/>
      <c r="S146" s="453"/>
      <c r="T146" s="453"/>
      <c r="U146" s="453"/>
      <c r="V146" s="453"/>
      <c r="W146" s="453"/>
      <c r="X146" s="453"/>
      <c r="Y146" s="453"/>
      <c r="Z146" s="453"/>
      <c r="AA146" s="453"/>
    </row>
    <row r="147" spans="1:27" s="583" customFormat="1" x14ac:dyDescent="0.25">
      <c r="A147" s="608"/>
      <c r="B147" s="608"/>
      <c r="C147" s="608"/>
      <c r="D147" s="608"/>
      <c r="E147" s="609"/>
      <c r="F147" s="609"/>
      <c r="G147" s="609"/>
      <c r="H147" s="609"/>
      <c r="I147" s="609"/>
      <c r="J147" s="609"/>
      <c r="K147" s="609"/>
      <c r="M147" s="453"/>
      <c r="N147" s="453"/>
      <c r="O147" s="453"/>
      <c r="P147" s="453"/>
      <c r="Q147" s="453"/>
      <c r="R147" s="453"/>
      <c r="S147" s="453"/>
      <c r="T147" s="453"/>
      <c r="U147" s="453"/>
      <c r="V147" s="453"/>
      <c r="W147" s="453"/>
      <c r="X147" s="453"/>
      <c r="Y147" s="453"/>
      <c r="Z147" s="453"/>
      <c r="AA147" s="453"/>
    </row>
    <row r="148" spans="1:27" s="583" customFormat="1" x14ac:dyDescent="0.25">
      <c r="A148" s="608"/>
      <c r="B148" s="608"/>
      <c r="C148" s="608"/>
      <c r="D148" s="608"/>
      <c r="E148" s="609"/>
      <c r="F148" s="609"/>
      <c r="G148" s="609"/>
      <c r="H148" s="609"/>
      <c r="I148" s="609"/>
      <c r="J148" s="609"/>
      <c r="K148" s="609"/>
      <c r="M148" s="453"/>
      <c r="N148" s="453"/>
      <c r="O148" s="453"/>
      <c r="P148" s="453"/>
      <c r="Q148" s="453"/>
      <c r="R148" s="453"/>
      <c r="S148" s="453"/>
      <c r="T148" s="453"/>
      <c r="U148" s="453"/>
      <c r="V148" s="453"/>
      <c r="W148" s="453"/>
      <c r="X148" s="453"/>
      <c r="Y148" s="453"/>
      <c r="Z148" s="453"/>
      <c r="AA148" s="453"/>
    </row>
    <row r="149" spans="1:27" s="583" customFormat="1" x14ac:dyDescent="0.25">
      <c r="A149" s="608"/>
      <c r="B149" s="608"/>
      <c r="C149" s="608"/>
      <c r="D149" s="608"/>
      <c r="E149" s="609"/>
      <c r="F149" s="609"/>
      <c r="G149" s="609"/>
      <c r="H149" s="609"/>
      <c r="I149" s="609"/>
      <c r="J149" s="609"/>
      <c r="K149" s="609"/>
      <c r="M149" s="453"/>
      <c r="N149" s="453"/>
      <c r="O149" s="453"/>
      <c r="P149" s="453"/>
      <c r="Q149" s="453"/>
      <c r="R149" s="453"/>
      <c r="S149" s="453"/>
      <c r="T149" s="453"/>
      <c r="U149" s="453"/>
      <c r="V149" s="453"/>
      <c r="W149" s="453"/>
      <c r="X149" s="453"/>
      <c r="Y149" s="453"/>
      <c r="Z149" s="453"/>
      <c r="AA149" s="453"/>
    </row>
    <row r="150" spans="1:27" s="583" customFormat="1" x14ac:dyDescent="0.25">
      <c r="A150" s="608"/>
      <c r="B150" s="608"/>
      <c r="C150" s="608"/>
      <c r="D150" s="608"/>
      <c r="E150" s="609"/>
      <c r="F150" s="609"/>
      <c r="G150" s="609"/>
      <c r="H150" s="609"/>
      <c r="I150" s="609"/>
      <c r="J150" s="609"/>
      <c r="K150" s="609"/>
      <c r="M150" s="453"/>
      <c r="N150" s="453"/>
      <c r="O150" s="453"/>
      <c r="P150" s="453"/>
      <c r="Q150" s="453"/>
      <c r="R150" s="453"/>
      <c r="S150" s="453"/>
      <c r="T150" s="453"/>
      <c r="U150" s="453"/>
      <c r="V150" s="453"/>
      <c r="W150" s="453"/>
      <c r="X150" s="453"/>
      <c r="Y150" s="453"/>
      <c r="Z150" s="453"/>
      <c r="AA150" s="453"/>
    </row>
    <row r="151" spans="1:27" s="583" customFormat="1" x14ac:dyDescent="0.25">
      <c r="A151" s="608"/>
      <c r="B151" s="608"/>
      <c r="C151" s="608"/>
      <c r="D151" s="608"/>
      <c r="E151" s="609"/>
      <c r="F151" s="609"/>
      <c r="G151" s="609"/>
      <c r="H151" s="609"/>
      <c r="I151" s="609"/>
      <c r="J151" s="609"/>
      <c r="K151" s="609"/>
      <c r="M151" s="453"/>
      <c r="N151" s="453"/>
      <c r="O151" s="453"/>
      <c r="P151" s="453"/>
      <c r="Q151" s="453"/>
      <c r="R151" s="453"/>
      <c r="S151" s="453"/>
      <c r="T151" s="453"/>
      <c r="U151" s="453"/>
      <c r="V151" s="453"/>
      <c r="W151" s="453"/>
      <c r="X151" s="453"/>
      <c r="Y151" s="453"/>
      <c r="Z151" s="453"/>
      <c r="AA151" s="453"/>
    </row>
    <row r="152" spans="1:27" s="583" customFormat="1" x14ac:dyDescent="0.25">
      <c r="A152" s="608"/>
      <c r="B152" s="608"/>
      <c r="C152" s="608"/>
      <c r="D152" s="608"/>
      <c r="E152" s="609"/>
      <c r="F152" s="609"/>
      <c r="G152" s="609"/>
      <c r="H152" s="609"/>
      <c r="I152" s="609"/>
      <c r="J152" s="609"/>
      <c r="K152" s="609"/>
      <c r="M152" s="453"/>
      <c r="N152" s="453"/>
      <c r="O152" s="453"/>
      <c r="P152" s="453"/>
      <c r="Q152" s="453"/>
      <c r="R152" s="453"/>
      <c r="S152" s="453"/>
      <c r="T152" s="453"/>
      <c r="U152" s="453"/>
      <c r="V152" s="453"/>
      <c r="W152" s="453"/>
      <c r="X152" s="453"/>
      <c r="Y152" s="453"/>
      <c r="Z152" s="453"/>
      <c r="AA152" s="453"/>
    </row>
    <row r="153" spans="1:27" s="583" customFormat="1" x14ac:dyDescent="0.25">
      <c r="A153" s="608"/>
      <c r="B153" s="608"/>
      <c r="C153" s="608"/>
      <c r="D153" s="608"/>
      <c r="E153" s="609"/>
      <c r="F153" s="609"/>
      <c r="G153" s="609"/>
      <c r="H153" s="609"/>
      <c r="I153" s="609"/>
      <c r="J153" s="609"/>
      <c r="K153" s="609"/>
      <c r="M153" s="453"/>
      <c r="N153" s="453"/>
      <c r="O153" s="453"/>
      <c r="P153" s="453"/>
      <c r="Q153" s="453"/>
      <c r="R153" s="453"/>
      <c r="S153" s="453"/>
      <c r="T153" s="453"/>
      <c r="U153" s="453"/>
      <c r="V153" s="453"/>
      <c r="W153" s="453"/>
      <c r="X153" s="453"/>
      <c r="Y153" s="453"/>
      <c r="Z153" s="453"/>
      <c r="AA153" s="453"/>
    </row>
    <row r="154" spans="1:27" s="583" customFormat="1" x14ac:dyDescent="0.25">
      <c r="A154" s="608"/>
      <c r="B154" s="608"/>
      <c r="C154" s="608"/>
      <c r="D154" s="608"/>
      <c r="E154" s="609"/>
      <c r="F154" s="609"/>
      <c r="G154" s="609"/>
      <c r="H154" s="609"/>
      <c r="I154" s="609"/>
      <c r="J154" s="609"/>
      <c r="K154" s="609"/>
      <c r="M154" s="453"/>
      <c r="N154" s="453"/>
      <c r="O154" s="453"/>
      <c r="P154" s="453"/>
      <c r="Q154" s="453"/>
      <c r="R154" s="453"/>
      <c r="S154" s="453"/>
      <c r="T154" s="453"/>
      <c r="U154" s="453"/>
      <c r="V154" s="453"/>
      <c r="W154" s="453"/>
      <c r="X154" s="453"/>
      <c r="Y154" s="453"/>
      <c r="Z154" s="453"/>
      <c r="AA154" s="453"/>
    </row>
    <row r="155" spans="1:27" s="583" customFormat="1" x14ac:dyDescent="0.25">
      <c r="A155" s="608"/>
      <c r="B155" s="608"/>
      <c r="C155" s="608"/>
      <c r="D155" s="608"/>
      <c r="E155" s="609"/>
      <c r="F155" s="609"/>
      <c r="G155" s="609"/>
      <c r="H155" s="609"/>
      <c r="I155" s="609"/>
      <c r="J155" s="609"/>
      <c r="K155" s="609"/>
      <c r="M155" s="453"/>
      <c r="N155" s="453"/>
      <c r="O155" s="453"/>
      <c r="P155" s="453"/>
      <c r="Q155" s="453"/>
      <c r="R155" s="453"/>
      <c r="S155" s="453"/>
      <c r="T155" s="453"/>
      <c r="U155" s="453"/>
      <c r="V155" s="453"/>
      <c r="W155" s="453"/>
      <c r="X155" s="453"/>
      <c r="Y155" s="453"/>
      <c r="Z155" s="453"/>
      <c r="AA155" s="453"/>
    </row>
    <row r="156" spans="1:27" s="583" customFormat="1" x14ac:dyDescent="0.25">
      <c r="A156" s="608"/>
      <c r="B156" s="608"/>
      <c r="C156" s="608"/>
      <c r="D156" s="608"/>
      <c r="E156" s="609"/>
      <c r="F156" s="609"/>
      <c r="G156" s="609"/>
      <c r="H156" s="609"/>
      <c r="I156" s="609"/>
      <c r="J156" s="609"/>
      <c r="K156" s="609"/>
      <c r="M156" s="453"/>
      <c r="N156" s="453"/>
      <c r="O156" s="453"/>
      <c r="P156" s="453"/>
      <c r="Q156" s="453"/>
      <c r="R156" s="453"/>
      <c r="S156" s="453"/>
      <c r="T156" s="453"/>
      <c r="U156" s="453"/>
      <c r="V156" s="453"/>
      <c r="W156" s="453"/>
      <c r="X156" s="453"/>
      <c r="Y156" s="453"/>
      <c r="Z156" s="453"/>
      <c r="AA156" s="453"/>
    </row>
    <row r="157" spans="1:27" s="583" customFormat="1" x14ac:dyDescent="0.25">
      <c r="A157" s="608"/>
      <c r="B157" s="608"/>
      <c r="C157" s="608"/>
      <c r="D157" s="608"/>
      <c r="E157" s="609"/>
      <c r="F157" s="609"/>
      <c r="G157" s="609"/>
      <c r="H157" s="609"/>
      <c r="I157" s="609"/>
      <c r="J157" s="609"/>
      <c r="K157" s="609"/>
      <c r="M157" s="453"/>
      <c r="N157" s="453"/>
      <c r="O157" s="453"/>
      <c r="P157" s="453"/>
      <c r="Q157" s="453"/>
      <c r="R157" s="453"/>
      <c r="S157" s="453"/>
      <c r="T157" s="453"/>
      <c r="U157" s="453"/>
      <c r="V157" s="453"/>
      <c r="W157" s="453"/>
      <c r="X157" s="453"/>
      <c r="Y157" s="453"/>
      <c r="Z157" s="453"/>
      <c r="AA157" s="453"/>
    </row>
    <row r="158" spans="1:27" s="583" customFormat="1" x14ac:dyDescent="0.25">
      <c r="A158" s="608"/>
      <c r="B158" s="608"/>
      <c r="C158" s="608"/>
      <c r="D158" s="608"/>
      <c r="E158" s="609"/>
      <c r="F158" s="609"/>
      <c r="G158" s="609"/>
      <c r="H158" s="609"/>
      <c r="I158" s="609"/>
      <c r="J158" s="609"/>
      <c r="K158" s="609"/>
      <c r="M158" s="453"/>
      <c r="N158" s="453"/>
      <c r="O158" s="453"/>
      <c r="P158" s="453"/>
      <c r="Q158" s="453"/>
      <c r="R158" s="453"/>
      <c r="S158" s="453"/>
      <c r="T158" s="453"/>
      <c r="U158" s="453"/>
      <c r="V158" s="453"/>
      <c r="W158" s="453"/>
      <c r="X158" s="453"/>
      <c r="Y158" s="453"/>
      <c r="Z158" s="453"/>
      <c r="AA158" s="453"/>
    </row>
    <row r="159" spans="1:27" s="583" customFormat="1" x14ac:dyDescent="0.25">
      <c r="A159" s="608"/>
      <c r="B159" s="608"/>
      <c r="C159" s="608"/>
      <c r="D159" s="608"/>
      <c r="E159" s="609"/>
      <c r="F159" s="609"/>
      <c r="G159" s="609"/>
      <c r="H159" s="609"/>
      <c r="I159" s="609"/>
      <c r="J159" s="609"/>
      <c r="K159" s="609"/>
      <c r="M159" s="453"/>
      <c r="N159" s="453"/>
      <c r="O159" s="453"/>
      <c r="P159" s="453"/>
      <c r="Q159" s="453"/>
      <c r="R159" s="453"/>
      <c r="S159" s="453"/>
      <c r="T159" s="453"/>
      <c r="U159" s="453"/>
      <c r="V159" s="453"/>
      <c r="W159" s="453"/>
      <c r="X159" s="453"/>
      <c r="Y159" s="453"/>
      <c r="Z159" s="453"/>
      <c r="AA159" s="453"/>
    </row>
    <row r="160" spans="1:27" s="583" customFormat="1" x14ac:dyDescent="0.25">
      <c r="A160" s="608"/>
      <c r="B160" s="608"/>
      <c r="C160" s="608"/>
      <c r="D160" s="608"/>
      <c r="E160" s="609"/>
      <c r="F160" s="609"/>
      <c r="G160" s="609"/>
      <c r="H160" s="609"/>
      <c r="I160" s="609"/>
      <c r="J160" s="609"/>
      <c r="K160" s="609"/>
      <c r="M160" s="453"/>
      <c r="N160" s="453"/>
      <c r="O160" s="453"/>
      <c r="P160" s="453"/>
      <c r="Q160" s="453"/>
      <c r="R160" s="453"/>
      <c r="S160" s="453"/>
      <c r="T160" s="453"/>
      <c r="U160" s="453"/>
      <c r="V160" s="453"/>
      <c r="W160" s="453"/>
      <c r="X160" s="453"/>
      <c r="Y160" s="453"/>
      <c r="Z160" s="453"/>
      <c r="AA160" s="453"/>
    </row>
    <row r="161" spans="1:27" s="583" customFormat="1" x14ac:dyDescent="0.25">
      <c r="A161" s="608"/>
      <c r="B161" s="608"/>
      <c r="C161" s="608"/>
      <c r="D161" s="608"/>
      <c r="E161" s="609"/>
      <c r="F161" s="609"/>
      <c r="G161" s="609"/>
      <c r="H161" s="609"/>
      <c r="I161" s="609"/>
      <c r="J161" s="609"/>
      <c r="K161" s="609"/>
      <c r="M161" s="453"/>
      <c r="N161" s="453"/>
      <c r="O161" s="453"/>
      <c r="P161" s="453"/>
      <c r="Q161" s="453"/>
      <c r="R161" s="453"/>
      <c r="S161" s="453"/>
      <c r="T161" s="453"/>
      <c r="U161" s="453"/>
      <c r="V161" s="453"/>
      <c r="W161" s="453"/>
      <c r="X161" s="453"/>
      <c r="Y161" s="453"/>
      <c r="Z161" s="453"/>
      <c r="AA161" s="453"/>
    </row>
    <row r="162" spans="1:27" s="583" customFormat="1" x14ac:dyDescent="0.25">
      <c r="A162" s="608"/>
      <c r="B162" s="608"/>
      <c r="C162" s="608"/>
      <c r="D162" s="608"/>
      <c r="E162" s="609"/>
      <c r="F162" s="609"/>
      <c r="G162" s="609"/>
      <c r="H162" s="609"/>
      <c r="I162" s="609"/>
      <c r="J162" s="609"/>
      <c r="K162" s="609"/>
      <c r="M162" s="453"/>
      <c r="N162" s="453"/>
      <c r="O162" s="453"/>
      <c r="P162" s="453"/>
      <c r="Q162" s="453"/>
      <c r="R162" s="453"/>
      <c r="S162" s="453"/>
      <c r="T162" s="453"/>
      <c r="U162" s="453"/>
      <c r="V162" s="453"/>
      <c r="W162" s="453"/>
      <c r="X162" s="453"/>
      <c r="Y162" s="453"/>
      <c r="Z162" s="453"/>
      <c r="AA162" s="453"/>
    </row>
    <row r="163" spans="1:27" s="583" customFormat="1" x14ac:dyDescent="0.25">
      <c r="A163" s="608"/>
      <c r="B163" s="608"/>
      <c r="C163" s="608"/>
      <c r="D163" s="608"/>
      <c r="E163" s="609"/>
      <c r="F163" s="609"/>
      <c r="G163" s="609"/>
      <c r="H163" s="609"/>
      <c r="I163" s="609"/>
      <c r="J163" s="609"/>
      <c r="K163" s="609"/>
      <c r="M163" s="453"/>
      <c r="N163" s="453"/>
      <c r="O163" s="453"/>
      <c r="P163" s="453"/>
      <c r="Q163" s="453"/>
      <c r="R163" s="453"/>
      <c r="S163" s="453"/>
      <c r="T163" s="453"/>
      <c r="U163" s="453"/>
      <c r="V163" s="453"/>
      <c r="W163" s="453"/>
      <c r="X163" s="453"/>
      <c r="Y163" s="453"/>
      <c r="Z163" s="453"/>
      <c r="AA163" s="453"/>
    </row>
    <row r="164" spans="1:27" s="583" customFormat="1" x14ac:dyDescent="0.25">
      <c r="A164" s="608"/>
      <c r="B164" s="608"/>
      <c r="C164" s="608"/>
      <c r="D164" s="608"/>
      <c r="E164" s="609"/>
      <c r="F164" s="609"/>
      <c r="G164" s="609"/>
      <c r="H164" s="609"/>
      <c r="I164" s="609"/>
      <c r="J164" s="609"/>
      <c r="K164" s="609"/>
      <c r="M164" s="453"/>
      <c r="N164" s="453"/>
      <c r="O164" s="453"/>
      <c r="P164" s="453"/>
      <c r="Q164" s="453"/>
      <c r="R164" s="453"/>
      <c r="S164" s="453"/>
      <c r="T164" s="453"/>
      <c r="U164" s="453"/>
      <c r="V164" s="453"/>
      <c r="W164" s="453"/>
      <c r="X164" s="453"/>
      <c r="Y164" s="453"/>
      <c r="Z164" s="453"/>
      <c r="AA164" s="453"/>
    </row>
    <row r="165" spans="1:27" s="583" customFormat="1" x14ac:dyDescent="0.25">
      <c r="A165" s="608"/>
      <c r="B165" s="608"/>
      <c r="C165" s="608"/>
      <c r="D165" s="608"/>
      <c r="E165" s="609"/>
      <c r="F165" s="609"/>
      <c r="G165" s="609"/>
      <c r="H165" s="609"/>
      <c r="I165" s="609"/>
      <c r="J165" s="609"/>
      <c r="K165" s="609"/>
      <c r="M165" s="453"/>
      <c r="N165" s="453"/>
      <c r="O165" s="453"/>
      <c r="P165" s="453"/>
      <c r="Q165" s="453"/>
      <c r="R165" s="453"/>
      <c r="S165" s="453"/>
      <c r="T165" s="453"/>
      <c r="U165" s="453"/>
      <c r="V165" s="453"/>
      <c r="W165" s="453"/>
      <c r="X165" s="453"/>
      <c r="Y165" s="453"/>
      <c r="Z165" s="453"/>
      <c r="AA165" s="453"/>
    </row>
    <row r="166" spans="1:27" s="583" customFormat="1" x14ac:dyDescent="0.25">
      <c r="A166" s="608"/>
      <c r="B166" s="608"/>
      <c r="C166" s="608"/>
      <c r="D166" s="608"/>
      <c r="E166" s="609"/>
      <c r="F166" s="609"/>
      <c r="G166" s="609"/>
      <c r="H166" s="609"/>
      <c r="I166" s="609"/>
      <c r="J166" s="609"/>
      <c r="K166" s="609"/>
      <c r="M166" s="453"/>
      <c r="N166" s="453"/>
      <c r="O166" s="453"/>
      <c r="P166" s="453"/>
      <c r="Q166" s="453"/>
      <c r="R166" s="453"/>
      <c r="S166" s="453"/>
      <c r="T166" s="453"/>
      <c r="U166" s="453"/>
      <c r="V166" s="453"/>
      <c r="W166" s="453"/>
      <c r="X166" s="453"/>
      <c r="Y166" s="453"/>
      <c r="Z166" s="453"/>
      <c r="AA166" s="453"/>
    </row>
    <row r="167" spans="1:27" s="583" customFormat="1" x14ac:dyDescent="0.25">
      <c r="A167" s="608"/>
      <c r="B167" s="608"/>
      <c r="C167" s="608"/>
      <c r="D167" s="608"/>
      <c r="E167" s="609"/>
      <c r="F167" s="609"/>
      <c r="G167" s="609"/>
      <c r="H167" s="609"/>
      <c r="I167" s="609"/>
      <c r="J167" s="609"/>
      <c r="K167" s="609"/>
      <c r="M167" s="453"/>
      <c r="N167" s="453"/>
      <c r="O167" s="453"/>
      <c r="P167" s="453"/>
      <c r="Q167" s="453"/>
      <c r="R167" s="453"/>
      <c r="S167" s="453"/>
      <c r="T167" s="453"/>
      <c r="U167" s="453"/>
      <c r="V167" s="453"/>
      <c r="W167" s="453"/>
      <c r="X167" s="453"/>
      <c r="Y167" s="453"/>
      <c r="Z167" s="453"/>
      <c r="AA167" s="453"/>
    </row>
    <row r="168" spans="1:27" s="583" customFormat="1" x14ac:dyDescent="0.25">
      <c r="A168" s="608"/>
      <c r="B168" s="608"/>
      <c r="C168" s="608"/>
      <c r="D168" s="608"/>
      <c r="E168" s="609"/>
      <c r="F168" s="609"/>
      <c r="G168" s="609"/>
      <c r="H168" s="609"/>
      <c r="I168" s="609"/>
      <c r="J168" s="609"/>
      <c r="K168" s="609"/>
      <c r="M168" s="453"/>
      <c r="N168" s="453"/>
      <c r="O168" s="453"/>
      <c r="P168" s="453"/>
      <c r="Q168" s="453"/>
      <c r="R168" s="453"/>
      <c r="S168" s="453"/>
      <c r="T168" s="453"/>
      <c r="U168" s="453"/>
      <c r="V168" s="453"/>
      <c r="W168" s="453"/>
      <c r="X168" s="453"/>
      <c r="Y168" s="453"/>
      <c r="Z168" s="453"/>
      <c r="AA168" s="453"/>
    </row>
    <row r="169" spans="1:27" s="583" customFormat="1" x14ac:dyDescent="0.25">
      <c r="A169" s="608"/>
      <c r="B169" s="608"/>
      <c r="C169" s="608"/>
      <c r="D169" s="608"/>
      <c r="E169" s="609"/>
      <c r="F169" s="609"/>
      <c r="G169" s="609"/>
      <c r="H169" s="609"/>
      <c r="I169" s="609"/>
      <c r="J169" s="609"/>
      <c r="K169" s="609"/>
      <c r="M169" s="453"/>
      <c r="N169" s="453"/>
      <c r="O169" s="453"/>
      <c r="P169" s="453"/>
      <c r="Q169" s="453"/>
      <c r="R169" s="453"/>
      <c r="S169" s="453"/>
      <c r="T169" s="453"/>
      <c r="U169" s="453"/>
      <c r="V169" s="453"/>
      <c r="W169" s="453"/>
      <c r="X169" s="453"/>
      <c r="Y169" s="453"/>
      <c r="Z169" s="453"/>
      <c r="AA169" s="453"/>
    </row>
    <row r="170" spans="1:27" s="583" customFormat="1" x14ac:dyDescent="0.25">
      <c r="A170" s="608"/>
      <c r="B170" s="608"/>
      <c r="C170" s="608"/>
      <c r="D170" s="608"/>
      <c r="E170" s="609"/>
      <c r="F170" s="609"/>
      <c r="G170" s="609"/>
      <c r="H170" s="609"/>
      <c r="I170" s="609"/>
      <c r="J170" s="609"/>
      <c r="K170" s="609"/>
      <c r="M170" s="453"/>
      <c r="N170" s="453"/>
      <c r="O170" s="453"/>
      <c r="P170" s="453"/>
      <c r="Q170" s="453"/>
      <c r="R170" s="453"/>
      <c r="S170" s="453"/>
      <c r="T170" s="453"/>
      <c r="U170" s="453"/>
      <c r="V170" s="453"/>
      <c r="W170" s="453"/>
      <c r="X170" s="453"/>
      <c r="Y170" s="453"/>
      <c r="Z170" s="453"/>
      <c r="AA170" s="453"/>
    </row>
    <row r="171" spans="1:27" s="583" customFormat="1" x14ac:dyDescent="0.25">
      <c r="A171" s="608"/>
      <c r="B171" s="608"/>
      <c r="C171" s="608"/>
      <c r="D171" s="608"/>
      <c r="E171" s="609"/>
      <c r="F171" s="609"/>
      <c r="G171" s="609"/>
      <c r="H171" s="609"/>
      <c r="I171" s="609"/>
      <c r="J171" s="609"/>
      <c r="K171" s="609"/>
      <c r="M171" s="453"/>
      <c r="N171" s="453"/>
      <c r="O171" s="453"/>
      <c r="P171" s="453"/>
      <c r="Q171" s="453"/>
      <c r="R171" s="453"/>
      <c r="S171" s="453"/>
      <c r="T171" s="453"/>
      <c r="U171" s="453"/>
      <c r="V171" s="453"/>
      <c r="W171" s="453"/>
      <c r="X171" s="453"/>
      <c r="Y171" s="453"/>
      <c r="Z171" s="453"/>
      <c r="AA171" s="453"/>
    </row>
    <row r="172" spans="1:27" s="583" customFormat="1" x14ac:dyDescent="0.25">
      <c r="A172" s="608"/>
      <c r="B172" s="608"/>
      <c r="C172" s="608"/>
      <c r="D172" s="608"/>
      <c r="E172" s="609"/>
      <c r="F172" s="609"/>
      <c r="G172" s="609"/>
      <c r="H172" s="609"/>
      <c r="I172" s="609"/>
      <c r="J172" s="609"/>
      <c r="K172" s="609"/>
      <c r="M172" s="453"/>
      <c r="N172" s="453"/>
      <c r="O172" s="453"/>
      <c r="P172" s="453"/>
      <c r="Q172" s="453"/>
      <c r="R172" s="453"/>
      <c r="S172" s="453"/>
      <c r="T172" s="453"/>
      <c r="U172" s="453"/>
      <c r="V172" s="453"/>
      <c r="W172" s="453"/>
      <c r="X172" s="453"/>
      <c r="Y172" s="453"/>
      <c r="Z172" s="453"/>
      <c r="AA172" s="453"/>
    </row>
    <row r="173" spans="1:27" s="583" customFormat="1" x14ac:dyDescent="0.25">
      <c r="A173" s="608"/>
      <c r="B173" s="608"/>
      <c r="C173" s="608"/>
      <c r="D173" s="608"/>
      <c r="E173" s="609"/>
      <c r="F173" s="609"/>
      <c r="G173" s="609"/>
      <c r="H173" s="609"/>
      <c r="I173" s="609"/>
      <c r="J173" s="609"/>
      <c r="K173" s="609"/>
      <c r="M173" s="453"/>
      <c r="N173" s="453"/>
      <c r="O173" s="453"/>
      <c r="P173" s="453"/>
      <c r="Q173" s="453"/>
      <c r="R173" s="453"/>
      <c r="S173" s="453"/>
      <c r="T173" s="453"/>
      <c r="U173" s="453"/>
      <c r="V173" s="453"/>
      <c r="W173" s="453"/>
      <c r="X173" s="453"/>
      <c r="Y173" s="453"/>
      <c r="Z173" s="453"/>
      <c r="AA173" s="453"/>
    </row>
    <row r="174" spans="1:27" s="583" customFormat="1" x14ac:dyDescent="0.25">
      <c r="A174" s="608"/>
      <c r="B174" s="608"/>
      <c r="C174" s="608"/>
      <c r="D174" s="608"/>
      <c r="E174" s="609"/>
      <c r="F174" s="609"/>
      <c r="G174" s="609"/>
      <c r="H174" s="609"/>
      <c r="I174" s="609"/>
      <c r="J174" s="609"/>
      <c r="K174" s="609"/>
      <c r="M174" s="453"/>
      <c r="N174" s="453"/>
      <c r="O174" s="453"/>
      <c r="P174" s="453"/>
      <c r="Q174" s="453"/>
      <c r="R174" s="453"/>
      <c r="S174" s="453"/>
      <c r="T174" s="453"/>
      <c r="U174" s="453"/>
      <c r="V174" s="453"/>
      <c r="W174" s="453"/>
      <c r="X174" s="453"/>
      <c r="Y174" s="453"/>
      <c r="Z174" s="453"/>
      <c r="AA174" s="453"/>
    </row>
    <row r="175" spans="1:27" s="583" customFormat="1" x14ac:dyDescent="0.25">
      <c r="A175" s="608"/>
      <c r="B175" s="608"/>
      <c r="C175" s="608"/>
      <c r="D175" s="608"/>
      <c r="E175" s="609"/>
      <c r="F175" s="609"/>
      <c r="G175" s="609"/>
      <c r="H175" s="609"/>
      <c r="I175" s="609"/>
      <c r="J175" s="609"/>
      <c r="K175" s="609"/>
      <c r="M175" s="453"/>
      <c r="N175" s="453"/>
      <c r="O175" s="453"/>
      <c r="P175" s="453"/>
      <c r="Q175" s="453"/>
      <c r="R175" s="453"/>
      <c r="S175" s="453"/>
      <c r="T175" s="453"/>
      <c r="U175" s="453"/>
      <c r="V175" s="453"/>
      <c r="W175" s="453"/>
      <c r="X175" s="453"/>
      <c r="Y175" s="453"/>
      <c r="Z175" s="453"/>
      <c r="AA175" s="453"/>
    </row>
    <row r="176" spans="1:27" s="583" customFormat="1" x14ac:dyDescent="0.25">
      <c r="A176" s="608"/>
      <c r="B176" s="608"/>
      <c r="C176" s="608"/>
      <c r="D176" s="608"/>
      <c r="E176" s="609"/>
      <c r="F176" s="609"/>
      <c r="G176" s="609"/>
      <c r="H176" s="609"/>
      <c r="I176" s="609"/>
      <c r="J176" s="609"/>
      <c r="K176" s="609"/>
      <c r="M176" s="453"/>
      <c r="N176" s="453"/>
      <c r="O176" s="453"/>
      <c r="P176" s="453"/>
      <c r="Q176" s="453"/>
      <c r="R176" s="453"/>
      <c r="S176" s="453"/>
      <c r="T176" s="453"/>
      <c r="U176" s="453"/>
      <c r="V176" s="453"/>
      <c r="W176" s="453"/>
      <c r="X176" s="453"/>
      <c r="Y176" s="453"/>
      <c r="Z176" s="453"/>
      <c r="AA176" s="453"/>
    </row>
    <row r="177" spans="1:27" s="583" customFormat="1" x14ac:dyDescent="0.25">
      <c r="A177" s="608"/>
      <c r="B177" s="608"/>
      <c r="C177" s="608"/>
      <c r="D177" s="608"/>
      <c r="E177" s="609"/>
      <c r="F177" s="609"/>
      <c r="G177" s="609"/>
      <c r="H177" s="609"/>
      <c r="I177" s="609"/>
      <c r="J177" s="609"/>
      <c r="K177" s="609"/>
      <c r="M177" s="453"/>
      <c r="N177" s="453"/>
      <c r="O177" s="453"/>
      <c r="P177" s="453"/>
      <c r="Q177" s="453"/>
      <c r="R177" s="453"/>
      <c r="S177" s="453"/>
      <c r="T177" s="453"/>
      <c r="U177" s="453"/>
      <c r="V177" s="453"/>
      <c r="W177" s="453"/>
      <c r="X177" s="453"/>
      <c r="Y177" s="453"/>
      <c r="Z177" s="453"/>
      <c r="AA177" s="453"/>
    </row>
    <row r="178" spans="1:27" s="583" customFormat="1" x14ac:dyDescent="0.25">
      <c r="A178" s="608"/>
      <c r="B178" s="608"/>
      <c r="C178" s="608"/>
      <c r="D178" s="608"/>
      <c r="E178" s="609"/>
      <c r="F178" s="609"/>
      <c r="G178" s="609"/>
      <c r="H178" s="609"/>
      <c r="I178" s="609"/>
      <c r="J178" s="609"/>
      <c r="K178" s="609"/>
      <c r="M178" s="453"/>
      <c r="N178" s="453"/>
      <c r="O178" s="453"/>
      <c r="P178" s="453"/>
      <c r="Q178" s="453"/>
      <c r="R178" s="453"/>
      <c r="S178" s="453"/>
      <c r="T178" s="453"/>
      <c r="U178" s="453"/>
      <c r="V178" s="453"/>
      <c r="W178" s="453"/>
      <c r="X178" s="453"/>
      <c r="Y178" s="453"/>
      <c r="Z178" s="453"/>
      <c r="AA178" s="453"/>
    </row>
    <row r="179" spans="1:27" s="583" customFormat="1" x14ac:dyDescent="0.25">
      <c r="A179" s="608"/>
      <c r="B179" s="608"/>
      <c r="C179" s="608"/>
      <c r="D179" s="608"/>
      <c r="E179" s="609"/>
      <c r="F179" s="609"/>
      <c r="G179" s="609"/>
      <c r="H179" s="609"/>
      <c r="I179" s="609"/>
      <c r="J179" s="609"/>
      <c r="K179" s="609"/>
      <c r="M179" s="453"/>
      <c r="N179" s="453"/>
      <c r="O179" s="453"/>
      <c r="P179" s="453"/>
      <c r="Q179" s="453"/>
      <c r="R179" s="453"/>
      <c r="S179" s="453"/>
      <c r="T179" s="453"/>
      <c r="U179" s="453"/>
      <c r="V179" s="453"/>
      <c r="W179" s="453"/>
      <c r="X179" s="453"/>
      <c r="Y179" s="453"/>
      <c r="Z179" s="453"/>
      <c r="AA179" s="453"/>
    </row>
    <row r="180" spans="1:27" s="583" customFormat="1" x14ac:dyDescent="0.25">
      <c r="A180" s="608"/>
      <c r="B180" s="608"/>
      <c r="C180" s="608"/>
      <c r="D180" s="608"/>
      <c r="E180" s="609"/>
      <c r="F180" s="609"/>
      <c r="G180" s="609"/>
      <c r="H180" s="609"/>
      <c r="I180" s="609"/>
      <c r="J180" s="609"/>
      <c r="K180" s="609"/>
      <c r="M180" s="453"/>
      <c r="N180" s="453"/>
      <c r="O180" s="453"/>
      <c r="P180" s="453"/>
      <c r="Q180" s="453"/>
      <c r="R180" s="453"/>
      <c r="S180" s="453"/>
      <c r="T180" s="453"/>
      <c r="U180" s="453"/>
      <c r="V180" s="453"/>
      <c r="W180" s="453"/>
      <c r="X180" s="453"/>
      <c r="Y180" s="453"/>
      <c r="Z180" s="453"/>
      <c r="AA180" s="453"/>
    </row>
    <row r="181" spans="1:27" s="583" customFormat="1" x14ac:dyDescent="0.25">
      <c r="A181" s="608"/>
      <c r="B181" s="608"/>
      <c r="C181" s="608"/>
      <c r="D181" s="608"/>
      <c r="E181" s="609"/>
      <c r="F181" s="609"/>
      <c r="G181" s="609"/>
      <c r="H181" s="609"/>
      <c r="I181" s="609"/>
      <c r="J181" s="609"/>
      <c r="K181" s="609"/>
      <c r="M181" s="453"/>
      <c r="N181" s="453"/>
      <c r="O181" s="453"/>
      <c r="P181" s="453"/>
      <c r="Q181" s="453"/>
      <c r="R181" s="453"/>
      <c r="S181" s="453"/>
      <c r="T181" s="453"/>
      <c r="U181" s="453"/>
      <c r="V181" s="453"/>
      <c r="W181" s="453"/>
      <c r="X181" s="453"/>
      <c r="Y181" s="453"/>
      <c r="Z181" s="453"/>
      <c r="AA181" s="453"/>
    </row>
    <row r="182" spans="1:27" s="583" customFormat="1" x14ac:dyDescent="0.25">
      <c r="A182" s="608"/>
      <c r="B182" s="608"/>
      <c r="C182" s="608"/>
      <c r="D182" s="608"/>
      <c r="E182" s="609"/>
      <c r="F182" s="609"/>
      <c r="G182" s="609"/>
      <c r="H182" s="609"/>
      <c r="I182" s="609"/>
      <c r="J182" s="609"/>
      <c r="K182" s="609"/>
      <c r="M182" s="453"/>
      <c r="N182" s="453"/>
      <c r="O182" s="453"/>
      <c r="P182" s="453"/>
      <c r="Q182" s="453"/>
      <c r="R182" s="453"/>
      <c r="S182" s="453"/>
      <c r="T182" s="453"/>
      <c r="U182" s="453"/>
      <c r="V182" s="453"/>
      <c r="W182" s="453"/>
      <c r="X182" s="453"/>
      <c r="Y182" s="453"/>
      <c r="Z182" s="453"/>
      <c r="AA182" s="453"/>
    </row>
    <row r="183" spans="1:27" s="583" customFormat="1" x14ac:dyDescent="0.25">
      <c r="A183" s="608"/>
      <c r="B183" s="608"/>
      <c r="C183" s="608"/>
      <c r="D183" s="608"/>
      <c r="E183" s="609"/>
      <c r="F183" s="609"/>
      <c r="G183" s="609"/>
      <c r="H183" s="609"/>
      <c r="I183" s="609"/>
      <c r="J183" s="609"/>
      <c r="K183" s="609"/>
      <c r="M183" s="453"/>
      <c r="N183" s="453"/>
      <c r="O183" s="453"/>
      <c r="P183" s="453"/>
      <c r="Q183" s="453"/>
      <c r="R183" s="453"/>
      <c r="S183" s="453"/>
      <c r="T183" s="453"/>
      <c r="U183" s="453"/>
      <c r="V183" s="453"/>
      <c r="W183" s="453"/>
      <c r="X183" s="453"/>
      <c r="Y183" s="453"/>
      <c r="Z183" s="453"/>
      <c r="AA183" s="453"/>
    </row>
    <row r="184" spans="1:27" s="583" customFormat="1" x14ac:dyDescent="0.25">
      <c r="A184" s="608"/>
      <c r="B184" s="608"/>
      <c r="C184" s="608"/>
      <c r="D184" s="608"/>
      <c r="E184" s="609"/>
      <c r="F184" s="609"/>
      <c r="G184" s="609"/>
      <c r="H184" s="609"/>
      <c r="I184" s="609"/>
      <c r="J184" s="609"/>
      <c r="K184" s="609"/>
      <c r="M184" s="453"/>
      <c r="N184" s="453"/>
      <c r="O184" s="453"/>
      <c r="P184" s="453"/>
      <c r="Q184" s="453"/>
      <c r="R184" s="453"/>
      <c r="S184" s="453"/>
      <c r="T184" s="453"/>
      <c r="U184" s="453"/>
      <c r="V184" s="453"/>
      <c r="W184" s="453"/>
      <c r="X184" s="453"/>
      <c r="Y184" s="453"/>
      <c r="Z184" s="453"/>
      <c r="AA184" s="453"/>
    </row>
    <row r="185" spans="1:27" s="583" customFormat="1" x14ac:dyDescent="0.25">
      <c r="A185" s="608"/>
      <c r="B185" s="608"/>
      <c r="C185" s="608"/>
      <c r="D185" s="608"/>
      <c r="E185" s="609"/>
      <c r="F185" s="609"/>
      <c r="G185" s="609"/>
      <c r="H185" s="609"/>
      <c r="I185" s="609"/>
      <c r="J185" s="609"/>
      <c r="K185" s="609"/>
      <c r="M185" s="453"/>
      <c r="N185" s="453"/>
      <c r="O185" s="453"/>
      <c r="P185" s="453"/>
      <c r="Q185" s="453"/>
      <c r="R185" s="453"/>
      <c r="S185" s="453"/>
      <c r="T185" s="453"/>
      <c r="U185" s="453"/>
      <c r="V185" s="453"/>
      <c r="W185" s="453"/>
      <c r="X185" s="453"/>
      <c r="Y185" s="453"/>
      <c r="Z185" s="453"/>
      <c r="AA185" s="453"/>
    </row>
    <row r="186" spans="1:27" s="583" customFormat="1" x14ac:dyDescent="0.25">
      <c r="A186" s="608"/>
      <c r="B186" s="608"/>
      <c r="C186" s="608"/>
      <c r="D186" s="608"/>
      <c r="E186" s="609"/>
      <c r="F186" s="609"/>
      <c r="G186" s="609"/>
      <c r="H186" s="609"/>
      <c r="I186" s="609"/>
      <c r="J186" s="609"/>
      <c r="K186" s="609"/>
      <c r="M186" s="453"/>
      <c r="N186" s="453"/>
      <c r="O186" s="453"/>
      <c r="P186" s="453"/>
      <c r="Q186" s="453"/>
      <c r="R186" s="453"/>
      <c r="S186" s="453"/>
      <c r="T186" s="453"/>
      <c r="U186" s="453"/>
      <c r="V186" s="453"/>
      <c r="W186" s="453"/>
      <c r="X186" s="453"/>
      <c r="Y186" s="453"/>
      <c r="Z186" s="453"/>
      <c r="AA186" s="453"/>
    </row>
    <row r="187" spans="1:27" s="583" customFormat="1" x14ac:dyDescent="0.25">
      <c r="A187" s="608"/>
      <c r="B187" s="608"/>
      <c r="C187" s="608"/>
      <c r="D187" s="608"/>
      <c r="E187" s="609"/>
      <c r="F187" s="609"/>
      <c r="G187" s="609"/>
      <c r="H187" s="609"/>
      <c r="I187" s="609"/>
      <c r="J187" s="609"/>
      <c r="K187" s="609"/>
      <c r="M187" s="453"/>
      <c r="N187" s="453"/>
      <c r="O187" s="453"/>
      <c r="P187" s="453"/>
      <c r="Q187" s="453"/>
      <c r="R187" s="453"/>
      <c r="S187" s="453"/>
      <c r="T187" s="453"/>
      <c r="U187" s="453"/>
      <c r="V187" s="453"/>
      <c r="W187" s="453"/>
      <c r="X187" s="453"/>
      <c r="Y187" s="453"/>
      <c r="Z187" s="453"/>
      <c r="AA187" s="453"/>
    </row>
    <row r="188" spans="1:27" s="583" customFormat="1" x14ac:dyDescent="0.25">
      <c r="A188" s="608"/>
      <c r="B188" s="608"/>
      <c r="C188" s="608"/>
      <c r="D188" s="608"/>
      <c r="E188" s="609"/>
      <c r="F188" s="609"/>
      <c r="G188" s="609"/>
      <c r="H188" s="609"/>
      <c r="I188" s="609"/>
      <c r="J188" s="609"/>
      <c r="K188" s="609"/>
      <c r="M188" s="453"/>
      <c r="N188" s="453"/>
      <c r="O188" s="453"/>
      <c r="P188" s="453"/>
      <c r="Q188" s="453"/>
      <c r="R188" s="453"/>
      <c r="S188" s="453"/>
      <c r="T188" s="453"/>
      <c r="U188" s="453"/>
      <c r="V188" s="453"/>
      <c r="W188" s="453"/>
      <c r="X188" s="453"/>
      <c r="Y188" s="453"/>
      <c r="Z188" s="453"/>
      <c r="AA188" s="453"/>
    </row>
    <row r="189" spans="1:27" s="583" customFormat="1" x14ac:dyDescent="0.25">
      <c r="A189" s="608"/>
      <c r="B189" s="608"/>
      <c r="C189" s="608"/>
      <c r="D189" s="608"/>
      <c r="E189" s="609"/>
      <c r="F189" s="609"/>
      <c r="G189" s="609"/>
      <c r="H189" s="609"/>
      <c r="I189" s="609"/>
      <c r="J189" s="609"/>
      <c r="K189" s="609"/>
      <c r="M189" s="453"/>
      <c r="N189" s="453"/>
      <c r="O189" s="453"/>
      <c r="P189" s="453"/>
      <c r="Q189" s="453"/>
      <c r="R189" s="453"/>
      <c r="S189" s="453"/>
      <c r="T189" s="453"/>
      <c r="U189" s="453"/>
      <c r="V189" s="453"/>
      <c r="W189" s="453"/>
      <c r="X189" s="453"/>
      <c r="Y189" s="453"/>
      <c r="Z189" s="453"/>
      <c r="AA189" s="453"/>
    </row>
    <row r="190" spans="1:27" s="583" customFormat="1" x14ac:dyDescent="0.25">
      <c r="A190" s="608"/>
      <c r="B190" s="608"/>
      <c r="C190" s="608"/>
      <c r="D190" s="608"/>
      <c r="E190" s="609"/>
      <c r="F190" s="609"/>
      <c r="G190" s="609"/>
      <c r="H190" s="609"/>
      <c r="I190" s="609"/>
      <c r="J190" s="609"/>
      <c r="K190" s="609"/>
      <c r="M190" s="453"/>
      <c r="N190" s="453"/>
      <c r="O190" s="453"/>
      <c r="P190" s="453"/>
      <c r="Q190" s="453"/>
      <c r="R190" s="453"/>
      <c r="S190" s="453"/>
      <c r="T190" s="453"/>
      <c r="U190" s="453"/>
      <c r="V190" s="453"/>
      <c r="W190" s="453"/>
      <c r="X190" s="453"/>
      <c r="Y190" s="453"/>
      <c r="Z190" s="453"/>
      <c r="AA190" s="453"/>
    </row>
    <row r="191" spans="1:27" s="583" customFormat="1" x14ac:dyDescent="0.25">
      <c r="A191" s="608"/>
      <c r="B191" s="608"/>
      <c r="C191" s="608"/>
      <c r="D191" s="608"/>
      <c r="E191" s="609"/>
      <c r="F191" s="609"/>
      <c r="G191" s="609"/>
      <c r="H191" s="609"/>
      <c r="I191" s="609"/>
      <c r="J191" s="609"/>
      <c r="K191" s="609"/>
      <c r="M191" s="453"/>
      <c r="N191" s="453"/>
      <c r="O191" s="453"/>
      <c r="P191" s="453"/>
      <c r="Q191" s="453"/>
      <c r="R191" s="453"/>
      <c r="S191" s="453"/>
      <c r="T191" s="453"/>
      <c r="U191" s="453"/>
      <c r="V191" s="453"/>
      <c r="W191" s="453"/>
      <c r="X191" s="453"/>
      <c r="Y191" s="453"/>
      <c r="Z191" s="453"/>
      <c r="AA191" s="453"/>
    </row>
    <row r="192" spans="1:27" s="583" customFormat="1" x14ac:dyDescent="0.25">
      <c r="A192" s="608"/>
      <c r="B192" s="608"/>
      <c r="C192" s="608"/>
      <c r="D192" s="608"/>
      <c r="E192" s="609"/>
      <c r="F192" s="609"/>
      <c r="G192" s="609"/>
      <c r="H192" s="609"/>
      <c r="I192" s="609"/>
      <c r="J192" s="609"/>
      <c r="K192" s="609"/>
      <c r="M192" s="453"/>
      <c r="N192" s="453"/>
      <c r="O192" s="453"/>
      <c r="P192" s="453"/>
      <c r="Q192" s="453"/>
      <c r="R192" s="453"/>
      <c r="S192" s="453"/>
      <c r="T192" s="453"/>
      <c r="U192" s="453"/>
      <c r="V192" s="453"/>
      <c r="W192" s="453"/>
      <c r="X192" s="453"/>
      <c r="Y192" s="453"/>
      <c r="Z192" s="453"/>
      <c r="AA192" s="453"/>
    </row>
    <row r="193" spans="1:27" s="583" customFormat="1" x14ac:dyDescent="0.25">
      <c r="A193" s="608"/>
      <c r="B193" s="608"/>
      <c r="C193" s="608"/>
      <c r="D193" s="608"/>
      <c r="E193" s="609"/>
      <c r="F193" s="609"/>
      <c r="G193" s="609"/>
      <c r="H193" s="609"/>
      <c r="I193" s="609"/>
      <c r="J193" s="609"/>
      <c r="K193" s="609"/>
      <c r="M193" s="453"/>
      <c r="N193" s="453"/>
      <c r="O193" s="453"/>
      <c r="P193" s="453"/>
      <c r="Q193" s="453"/>
      <c r="R193" s="453"/>
      <c r="S193" s="453"/>
      <c r="T193" s="453"/>
      <c r="U193" s="453"/>
      <c r="V193" s="453"/>
      <c r="W193" s="453"/>
      <c r="X193" s="453"/>
      <c r="Y193" s="453"/>
      <c r="Z193" s="453"/>
      <c r="AA193" s="453"/>
    </row>
    <row r="194" spans="1:27" s="583" customFormat="1" x14ac:dyDescent="0.25">
      <c r="A194" s="608"/>
      <c r="B194" s="608"/>
      <c r="C194" s="608"/>
      <c r="D194" s="608"/>
      <c r="E194" s="609"/>
      <c r="F194" s="609"/>
      <c r="G194" s="609"/>
      <c r="H194" s="609"/>
      <c r="I194" s="609"/>
      <c r="J194" s="609"/>
      <c r="K194" s="609"/>
      <c r="M194" s="453"/>
      <c r="N194" s="453"/>
      <c r="O194" s="453"/>
      <c r="P194" s="453"/>
      <c r="Q194" s="453"/>
      <c r="R194" s="453"/>
      <c r="S194" s="453"/>
      <c r="T194" s="453"/>
      <c r="U194" s="453"/>
      <c r="V194" s="453"/>
      <c r="W194" s="453"/>
      <c r="X194" s="453"/>
      <c r="Y194" s="453"/>
      <c r="Z194" s="453"/>
      <c r="AA194" s="453"/>
    </row>
    <row r="195" spans="1:27" s="583" customFormat="1" x14ac:dyDescent="0.25">
      <c r="A195" s="608"/>
      <c r="B195" s="608"/>
      <c r="C195" s="608"/>
      <c r="D195" s="608"/>
      <c r="E195" s="609"/>
      <c r="F195" s="609"/>
      <c r="G195" s="609"/>
      <c r="H195" s="609"/>
      <c r="I195" s="609"/>
      <c r="J195" s="609"/>
      <c r="K195" s="609"/>
      <c r="M195" s="453"/>
      <c r="N195" s="453"/>
      <c r="O195" s="453"/>
      <c r="P195" s="453"/>
      <c r="Q195" s="453"/>
      <c r="R195" s="453"/>
      <c r="S195" s="453"/>
      <c r="T195" s="453"/>
      <c r="U195" s="453"/>
      <c r="V195" s="453"/>
      <c r="W195" s="453"/>
      <c r="X195" s="453"/>
      <c r="Y195" s="453"/>
      <c r="Z195" s="453"/>
      <c r="AA195" s="453"/>
    </row>
    <row r="196" spans="1:27" s="583" customFormat="1" x14ac:dyDescent="0.25">
      <c r="A196" s="608"/>
      <c r="B196" s="608"/>
      <c r="C196" s="608"/>
      <c r="D196" s="608"/>
      <c r="E196" s="609"/>
      <c r="F196" s="609"/>
      <c r="G196" s="609"/>
      <c r="H196" s="609"/>
      <c r="I196" s="609"/>
      <c r="J196" s="609"/>
      <c r="K196" s="609"/>
      <c r="M196" s="453"/>
      <c r="N196" s="453"/>
      <c r="O196" s="453"/>
      <c r="P196" s="453"/>
      <c r="Q196" s="453"/>
      <c r="R196" s="453"/>
      <c r="S196" s="453"/>
      <c r="T196" s="453"/>
      <c r="U196" s="453"/>
      <c r="V196" s="453"/>
      <c r="W196" s="453"/>
      <c r="X196" s="453"/>
      <c r="Y196" s="453"/>
      <c r="Z196" s="453"/>
      <c r="AA196" s="453"/>
    </row>
    <row r="197" spans="1:27" s="583" customFormat="1" x14ac:dyDescent="0.25">
      <c r="A197" s="608"/>
      <c r="B197" s="608"/>
      <c r="C197" s="608"/>
      <c r="D197" s="608"/>
      <c r="E197" s="609"/>
      <c r="F197" s="609"/>
      <c r="G197" s="609"/>
      <c r="H197" s="609"/>
      <c r="I197" s="609"/>
      <c r="J197" s="609"/>
      <c r="K197" s="609"/>
      <c r="M197" s="453"/>
      <c r="N197" s="453"/>
      <c r="O197" s="453"/>
      <c r="P197" s="453"/>
      <c r="Q197" s="453"/>
      <c r="R197" s="453"/>
      <c r="S197" s="453"/>
      <c r="T197" s="453"/>
      <c r="U197" s="453"/>
      <c r="V197" s="453"/>
      <c r="W197" s="453"/>
      <c r="X197" s="453"/>
      <c r="Y197" s="453"/>
      <c r="Z197" s="453"/>
      <c r="AA197" s="453"/>
    </row>
    <row r="198" spans="1:27" s="583" customFormat="1" x14ac:dyDescent="0.25">
      <c r="A198" s="608"/>
      <c r="B198" s="608"/>
      <c r="C198" s="608"/>
      <c r="D198" s="608"/>
      <c r="E198" s="609"/>
      <c r="F198" s="609"/>
      <c r="G198" s="609"/>
      <c r="H198" s="609"/>
      <c r="I198" s="609"/>
      <c r="J198" s="609"/>
      <c r="K198" s="609"/>
      <c r="M198" s="453"/>
      <c r="N198" s="453"/>
      <c r="O198" s="453"/>
      <c r="P198" s="453"/>
      <c r="Q198" s="453"/>
      <c r="R198" s="453"/>
      <c r="S198" s="453"/>
      <c r="T198" s="453"/>
      <c r="U198" s="453"/>
      <c r="V198" s="453"/>
      <c r="W198" s="453"/>
      <c r="X198" s="453"/>
      <c r="Y198" s="453"/>
      <c r="Z198" s="453"/>
      <c r="AA198" s="453"/>
    </row>
    <row r="199" spans="1:27" s="583" customFormat="1" x14ac:dyDescent="0.25">
      <c r="A199" s="608"/>
      <c r="B199" s="608"/>
      <c r="C199" s="608"/>
      <c r="D199" s="608"/>
      <c r="E199" s="609"/>
      <c r="F199" s="609"/>
      <c r="G199" s="609"/>
      <c r="H199" s="609"/>
      <c r="I199" s="609"/>
      <c r="J199" s="609"/>
      <c r="K199" s="609"/>
      <c r="M199" s="453"/>
      <c r="N199" s="453"/>
      <c r="O199" s="453"/>
      <c r="P199" s="453"/>
      <c r="Q199" s="453"/>
      <c r="R199" s="453"/>
      <c r="S199" s="453"/>
      <c r="T199" s="453"/>
      <c r="U199" s="453"/>
      <c r="V199" s="453"/>
      <c r="W199" s="453"/>
      <c r="X199" s="453"/>
      <c r="Y199" s="453"/>
      <c r="Z199" s="453"/>
      <c r="AA199" s="453"/>
    </row>
    <row r="200" spans="1:27" s="583" customFormat="1" x14ac:dyDescent="0.25">
      <c r="A200" s="608"/>
      <c r="B200" s="608"/>
      <c r="C200" s="608"/>
      <c r="D200" s="608"/>
      <c r="E200" s="609"/>
      <c r="F200" s="609"/>
      <c r="G200" s="609"/>
      <c r="H200" s="609"/>
      <c r="I200" s="609"/>
      <c r="J200" s="609"/>
      <c r="K200" s="609"/>
      <c r="M200" s="453"/>
      <c r="N200" s="453"/>
      <c r="O200" s="453"/>
      <c r="P200" s="453"/>
      <c r="Q200" s="453"/>
      <c r="R200" s="453"/>
      <c r="S200" s="453"/>
      <c r="T200" s="453"/>
      <c r="U200" s="453"/>
      <c r="V200" s="453"/>
      <c r="W200" s="453"/>
      <c r="X200" s="453"/>
      <c r="Y200" s="453"/>
      <c r="Z200" s="453"/>
      <c r="AA200" s="453"/>
    </row>
    <row r="201" spans="1:27" s="583" customFormat="1" x14ac:dyDescent="0.25">
      <c r="A201" s="608"/>
      <c r="B201" s="608"/>
      <c r="C201" s="608"/>
      <c r="D201" s="608"/>
      <c r="E201" s="609"/>
      <c r="F201" s="609"/>
      <c r="G201" s="609"/>
      <c r="H201" s="609"/>
      <c r="I201" s="609"/>
      <c r="J201" s="609"/>
      <c r="K201" s="609"/>
      <c r="M201" s="453"/>
      <c r="N201" s="453"/>
      <c r="O201" s="453"/>
      <c r="P201" s="453"/>
      <c r="Q201" s="453"/>
      <c r="R201" s="453"/>
      <c r="S201" s="453"/>
      <c r="T201" s="453"/>
      <c r="U201" s="453"/>
      <c r="V201" s="453"/>
      <c r="W201" s="453"/>
      <c r="X201" s="453"/>
      <c r="Y201" s="453"/>
      <c r="Z201" s="453"/>
      <c r="AA201" s="453"/>
    </row>
    <row r="202" spans="1:27" s="583" customFormat="1" x14ac:dyDescent="0.25">
      <c r="A202" s="608"/>
      <c r="B202" s="608"/>
      <c r="C202" s="608"/>
      <c r="D202" s="608"/>
      <c r="E202" s="609"/>
      <c r="F202" s="609"/>
      <c r="G202" s="609"/>
      <c r="H202" s="609"/>
      <c r="I202" s="609"/>
      <c r="J202" s="609"/>
      <c r="K202" s="609"/>
      <c r="M202" s="453"/>
      <c r="N202" s="453"/>
      <c r="O202" s="453"/>
      <c r="P202" s="453"/>
      <c r="Q202" s="453"/>
      <c r="R202" s="453"/>
      <c r="S202" s="453"/>
      <c r="T202" s="453"/>
      <c r="U202" s="453"/>
      <c r="V202" s="453"/>
      <c r="W202" s="453"/>
      <c r="X202" s="453"/>
      <c r="Y202" s="453"/>
      <c r="Z202" s="453"/>
      <c r="AA202" s="453"/>
    </row>
    <row r="203" spans="1:27" s="583" customFormat="1" x14ac:dyDescent="0.25">
      <c r="A203" s="608"/>
      <c r="B203" s="608"/>
      <c r="C203" s="608"/>
      <c r="D203" s="608"/>
      <c r="E203" s="609"/>
      <c r="F203" s="609"/>
      <c r="G203" s="609"/>
      <c r="H203" s="609"/>
      <c r="I203" s="609"/>
      <c r="J203" s="609"/>
      <c r="K203" s="609"/>
      <c r="M203" s="453"/>
      <c r="N203" s="453"/>
      <c r="O203" s="453"/>
      <c r="P203" s="453"/>
      <c r="Q203" s="453"/>
      <c r="R203" s="453"/>
      <c r="S203" s="453"/>
      <c r="T203" s="453"/>
      <c r="U203" s="453"/>
      <c r="V203" s="453"/>
      <c r="W203" s="453"/>
      <c r="X203" s="453"/>
      <c r="Y203" s="453"/>
      <c r="Z203" s="453"/>
      <c r="AA203" s="453"/>
    </row>
    <row r="204" spans="1:27" s="583" customFormat="1" x14ac:dyDescent="0.25">
      <c r="A204" s="608"/>
      <c r="B204" s="608"/>
      <c r="C204" s="608"/>
      <c r="D204" s="608"/>
      <c r="E204" s="609"/>
      <c r="F204" s="609"/>
      <c r="G204" s="609"/>
      <c r="H204" s="609"/>
      <c r="I204" s="609"/>
      <c r="J204" s="609"/>
      <c r="K204" s="609"/>
      <c r="M204" s="453"/>
      <c r="N204" s="453"/>
      <c r="O204" s="453"/>
      <c r="P204" s="453"/>
      <c r="Q204" s="453"/>
      <c r="R204" s="453"/>
      <c r="S204" s="453"/>
      <c r="T204" s="453"/>
      <c r="U204" s="453"/>
      <c r="V204" s="453"/>
      <c r="W204" s="453"/>
      <c r="X204" s="453"/>
      <c r="Y204" s="453"/>
      <c r="Z204" s="453"/>
      <c r="AA204" s="453"/>
    </row>
    <row r="205" spans="1:27" s="583" customFormat="1" x14ac:dyDescent="0.25">
      <c r="A205" s="608"/>
      <c r="B205" s="608"/>
      <c r="C205" s="608"/>
      <c r="D205" s="608"/>
      <c r="E205" s="609"/>
      <c r="F205" s="609"/>
      <c r="G205" s="609"/>
      <c r="H205" s="609"/>
      <c r="I205" s="609"/>
      <c r="J205" s="609"/>
      <c r="K205" s="609"/>
      <c r="M205" s="453"/>
      <c r="N205" s="453"/>
      <c r="O205" s="453"/>
      <c r="P205" s="453"/>
      <c r="Q205" s="453"/>
      <c r="R205" s="453"/>
      <c r="S205" s="453"/>
      <c r="T205" s="453"/>
      <c r="U205" s="453"/>
      <c r="V205" s="453"/>
      <c r="W205" s="453"/>
      <c r="X205" s="453"/>
      <c r="Y205" s="453"/>
      <c r="Z205" s="453"/>
      <c r="AA205" s="453"/>
    </row>
    <row r="206" spans="1:27" s="583" customFormat="1" x14ac:dyDescent="0.25">
      <c r="A206" s="608"/>
      <c r="B206" s="608"/>
      <c r="C206" s="608"/>
      <c r="D206" s="608"/>
      <c r="E206" s="609"/>
      <c r="F206" s="609"/>
      <c r="G206" s="609"/>
      <c r="H206" s="609"/>
      <c r="I206" s="609"/>
      <c r="J206" s="609"/>
      <c r="K206" s="609"/>
      <c r="M206" s="453"/>
      <c r="N206" s="453"/>
      <c r="O206" s="453"/>
      <c r="P206" s="453"/>
      <c r="Q206" s="453"/>
      <c r="R206" s="453"/>
      <c r="S206" s="453"/>
      <c r="T206" s="453"/>
      <c r="U206" s="453"/>
      <c r="V206" s="453"/>
      <c r="W206" s="453"/>
      <c r="X206" s="453"/>
      <c r="Y206" s="453"/>
      <c r="Z206" s="453"/>
      <c r="AA206" s="453"/>
    </row>
    <row r="207" spans="1:27" s="583" customFormat="1" x14ac:dyDescent="0.25">
      <c r="A207" s="608"/>
      <c r="B207" s="608"/>
      <c r="C207" s="608"/>
      <c r="D207" s="608"/>
      <c r="E207" s="609"/>
      <c r="F207" s="609"/>
      <c r="G207" s="609"/>
      <c r="H207" s="609"/>
      <c r="I207" s="609"/>
      <c r="J207" s="609"/>
      <c r="K207" s="609"/>
      <c r="M207" s="453"/>
      <c r="N207" s="453"/>
      <c r="O207" s="453"/>
      <c r="P207" s="453"/>
      <c r="Q207" s="453"/>
      <c r="R207" s="453"/>
      <c r="S207" s="453"/>
      <c r="T207" s="453"/>
      <c r="U207" s="453"/>
      <c r="V207" s="453"/>
      <c r="W207" s="453"/>
      <c r="X207" s="453"/>
      <c r="Y207" s="453"/>
      <c r="Z207" s="453"/>
      <c r="AA207" s="453"/>
    </row>
    <row r="208" spans="1:27" s="583" customFormat="1" x14ac:dyDescent="0.25">
      <c r="A208" s="608"/>
      <c r="B208" s="608"/>
      <c r="C208" s="608"/>
      <c r="D208" s="608"/>
      <c r="E208" s="609"/>
      <c r="F208" s="609"/>
      <c r="G208" s="609"/>
      <c r="H208" s="609"/>
      <c r="I208" s="609"/>
      <c r="J208" s="609"/>
      <c r="K208" s="609"/>
      <c r="M208" s="453"/>
      <c r="N208" s="453"/>
      <c r="O208" s="453"/>
      <c r="P208" s="453"/>
      <c r="Q208" s="453"/>
      <c r="R208" s="453"/>
      <c r="S208" s="453"/>
      <c r="T208" s="453"/>
      <c r="U208" s="453"/>
      <c r="V208" s="453"/>
      <c r="W208" s="453"/>
      <c r="X208" s="453"/>
      <c r="Y208" s="453"/>
      <c r="Z208" s="453"/>
      <c r="AA208" s="453"/>
    </row>
    <row r="209" spans="1:27" s="583" customFormat="1" x14ac:dyDescent="0.25">
      <c r="A209" s="608"/>
      <c r="B209" s="608"/>
      <c r="C209" s="608"/>
      <c r="D209" s="608"/>
      <c r="E209" s="609"/>
      <c r="F209" s="609"/>
      <c r="G209" s="609"/>
      <c r="H209" s="609"/>
      <c r="I209" s="609"/>
      <c r="J209" s="609"/>
      <c r="K209" s="609"/>
      <c r="M209" s="453"/>
      <c r="N209" s="453"/>
      <c r="O209" s="453"/>
      <c r="P209" s="453"/>
      <c r="Q209" s="453"/>
      <c r="R209" s="453"/>
      <c r="S209" s="453"/>
      <c r="T209" s="453"/>
      <c r="U209" s="453"/>
      <c r="V209" s="453"/>
      <c r="W209" s="453"/>
      <c r="X209" s="453"/>
      <c r="Y209" s="453"/>
      <c r="Z209" s="453"/>
      <c r="AA209" s="453"/>
    </row>
    <row r="210" spans="1:27" s="583" customFormat="1" x14ac:dyDescent="0.25">
      <c r="A210" s="608"/>
      <c r="B210" s="608"/>
      <c r="C210" s="608"/>
      <c r="D210" s="608"/>
      <c r="E210" s="609"/>
      <c r="F210" s="609"/>
      <c r="G210" s="609"/>
      <c r="H210" s="609"/>
      <c r="I210" s="609"/>
      <c r="J210" s="609"/>
      <c r="K210" s="609"/>
      <c r="M210" s="453"/>
      <c r="N210" s="453"/>
      <c r="O210" s="453"/>
      <c r="P210" s="453"/>
      <c r="Q210" s="453"/>
      <c r="R210" s="453"/>
      <c r="S210" s="453"/>
      <c r="T210" s="453"/>
      <c r="U210" s="453"/>
      <c r="V210" s="453"/>
      <c r="W210" s="453"/>
      <c r="X210" s="453"/>
      <c r="Y210" s="453"/>
      <c r="Z210" s="453"/>
      <c r="AA210" s="453"/>
    </row>
    <row r="211" spans="1:27" s="583" customFormat="1" x14ac:dyDescent="0.25">
      <c r="A211" s="608"/>
      <c r="B211" s="608"/>
      <c r="C211" s="608"/>
      <c r="D211" s="608"/>
      <c r="E211" s="609"/>
      <c r="F211" s="609"/>
      <c r="G211" s="609"/>
      <c r="H211" s="609"/>
      <c r="I211" s="609"/>
      <c r="J211" s="609"/>
      <c r="K211" s="609"/>
      <c r="M211" s="453"/>
      <c r="N211" s="453"/>
      <c r="O211" s="453"/>
      <c r="P211" s="453"/>
      <c r="Q211" s="453"/>
      <c r="R211" s="453"/>
      <c r="S211" s="453"/>
      <c r="T211" s="453"/>
      <c r="U211" s="453"/>
      <c r="V211" s="453"/>
      <c r="W211" s="453"/>
      <c r="X211" s="453"/>
      <c r="Y211" s="453"/>
      <c r="Z211" s="453"/>
      <c r="AA211" s="453"/>
    </row>
    <row r="212" spans="1:27" s="583" customFormat="1" x14ac:dyDescent="0.25">
      <c r="A212" s="608"/>
      <c r="B212" s="608"/>
      <c r="C212" s="608"/>
      <c r="D212" s="608"/>
      <c r="E212" s="609"/>
      <c r="F212" s="609"/>
      <c r="G212" s="609"/>
      <c r="H212" s="609"/>
      <c r="I212" s="609"/>
      <c r="J212" s="609"/>
      <c r="K212" s="609"/>
      <c r="M212" s="453"/>
      <c r="N212" s="453"/>
      <c r="O212" s="453"/>
      <c r="P212" s="453"/>
      <c r="Q212" s="453"/>
      <c r="R212" s="453"/>
      <c r="S212" s="453"/>
      <c r="T212" s="453"/>
      <c r="U212" s="453"/>
      <c r="V212" s="453"/>
      <c r="W212" s="453"/>
      <c r="X212" s="453"/>
      <c r="Y212" s="453"/>
      <c r="Z212" s="453"/>
      <c r="AA212" s="453"/>
    </row>
    <row r="213" spans="1:27" s="583" customFormat="1" x14ac:dyDescent="0.25">
      <c r="A213" s="608"/>
      <c r="B213" s="608"/>
      <c r="C213" s="608"/>
      <c r="D213" s="608"/>
      <c r="E213" s="609"/>
      <c r="F213" s="609"/>
      <c r="G213" s="609"/>
      <c r="H213" s="609"/>
      <c r="I213" s="609"/>
      <c r="J213" s="609"/>
      <c r="K213" s="609"/>
      <c r="M213" s="453"/>
      <c r="N213" s="453"/>
      <c r="O213" s="453"/>
      <c r="P213" s="453"/>
      <c r="Q213" s="453"/>
      <c r="R213" s="453"/>
      <c r="S213" s="453"/>
      <c r="T213" s="453"/>
      <c r="U213" s="453"/>
      <c r="V213" s="453"/>
      <c r="W213" s="453"/>
      <c r="X213" s="453"/>
      <c r="Y213" s="453"/>
      <c r="Z213" s="453"/>
      <c r="AA213" s="453"/>
    </row>
    <row r="214" spans="1:27" s="583" customFormat="1" x14ac:dyDescent="0.25">
      <c r="A214" s="608"/>
      <c r="B214" s="608"/>
      <c r="C214" s="608"/>
      <c r="D214" s="608"/>
      <c r="E214" s="609"/>
      <c r="F214" s="609"/>
      <c r="G214" s="609"/>
      <c r="H214" s="609"/>
      <c r="I214" s="609"/>
      <c r="J214" s="609"/>
      <c r="K214" s="609"/>
      <c r="M214" s="453"/>
      <c r="N214" s="453"/>
      <c r="O214" s="453"/>
      <c r="P214" s="453"/>
      <c r="Q214" s="453"/>
      <c r="R214" s="453"/>
      <c r="S214" s="453"/>
      <c r="T214" s="453"/>
      <c r="U214" s="453"/>
      <c r="V214" s="453"/>
      <c r="W214" s="453"/>
      <c r="X214" s="453"/>
      <c r="Y214" s="453"/>
      <c r="Z214" s="453"/>
      <c r="AA214" s="453"/>
    </row>
    <row r="215" spans="1:27" s="583" customFormat="1" x14ac:dyDescent="0.25">
      <c r="A215" s="608"/>
      <c r="B215" s="608"/>
      <c r="C215" s="608"/>
      <c r="D215" s="608"/>
      <c r="E215" s="609"/>
      <c r="F215" s="609"/>
      <c r="G215" s="609"/>
      <c r="H215" s="609"/>
      <c r="I215" s="609"/>
      <c r="J215" s="609"/>
      <c r="K215" s="609"/>
      <c r="M215" s="453"/>
      <c r="N215" s="453"/>
      <c r="O215" s="453"/>
      <c r="P215" s="453"/>
      <c r="Q215" s="453"/>
      <c r="R215" s="453"/>
      <c r="S215" s="453"/>
      <c r="T215" s="453"/>
      <c r="U215" s="453"/>
      <c r="V215" s="453"/>
      <c r="W215" s="453"/>
      <c r="X215" s="453"/>
      <c r="Y215" s="453"/>
      <c r="Z215" s="453"/>
      <c r="AA215" s="453"/>
    </row>
    <row r="216" spans="1:27" s="583" customFormat="1" x14ac:dyDescent="0.25">
      <c r="A216" s="608"/>
      <c r="B216" s="608"/>
      <c r="C216" s="608"/>
      <c r="D216" s="608"/>
      <c r="E216" s="609"/>
      <c r="F216" s="609"/>
      <c r="G216" s="609"/>
      <c r="H216" s="609"/>
      <c r="I216" s="609"/>
      <c r="J216" s="609"/>
      <c r="K216" s="609"/>
      <c r="M216" s="453"/>
      <c r="N216" s="453"/>
      <c r="O216" s="453"/>
      <c r="P216" s="453"/>
      <c r="Q216" s="453"/>
      <c r="R216" s="453"/>
      <c r="S216" s="453"/>
      <c r="T216" s="453"/>
      <c r="U216" s="453"/>
      <c r="V216" s="453"/>
      <c r="W216" s="453"/>
      <c r="X216" s="453"/>
      <c r="Y216" s="453"/>
      <c r="Z216" s="453"/>
      <c r="AA216" s="453"/>
    </row>
    <row r="217" spans="1:27" s="583" customFormat="1" x14ac:dyDescent="0.25">
      <c r="A217" s="608"/>
      <c r="B217" s="608"/>
      <c r="C217" s="608"/>
      <c r="D217" s="608"/>
      <c r="E217" s="609"/>
      <c r="F217" s="609"/>
      <c r="G217" s="609"/>
      <c r="H217" s="609"/>
      <c r="I217" s="609"/>
      <c r="J217" s="609"/>
      <c r="K217" s="609"/>
      <c r="M217" s="453"/>
      <c r="N217" s="453"/>
      <c r="O217" s="453"/>
      <c r="P217" s="453"/>
      <c r="Q217" s="453"/>
      <c r="R217" s="453"/>
      <c r="S217" s="453"/>
      <c r="T217" s="453"/>
      <c r="U217" s="453"/>
      <c r="V217" s="453"/>
      <c r="W217" s="453"/>
      <c r="X217" s="453"/>
      <c r="Y217" s="453"/>
      <c r="Z217" s="453"/>
      <c r="AA217" s="453"/>
    </row>
    <row r="218" spans="1:27" s="583" customFormat="1" x14ac:dyDescent="0.25">
      <c r="A218" s="608"/>
      <c r="B218" s="608"/>
      <c r="C218" s="608"/>
      <c r="D218" s="608"/>
      <c r="E218" s="609"/>
      <c r="F218" s="609"/>
      <c r="G218" s="609"/>
      <c r="H218" s="609"/>
      <c r="I218" s="609"/>
      <c r="J218" s="609"/>
      <c r="K218" s="609"/>
      <c r="M218" s="453"/>
      <c r="N218" s="453"/>
      <c r="O218" s="453"/>
      <c r="P218" s="453"/>
      <c r="Q218" s="453"/>
      <c r="R218" s="453"/>
      <c r="S218" s="453"/>
      <c r="T218" s="453"/>
      <c r="U218" s="453"/>
      <c r="V218" s="453"/>
      <c r="W218" s="453"/>
      <c r="X218" s="453"/>
      <c r="Y218" s="453"/>
      <c r="Z218" s="453"/>
      <c r="AA218" s="453"/>
    </row>
    <row r="219" spans="1:27" s="583" customFormat="1" x14ac:dyDescent="0.25">
      <c r="A219" s="608"/>
      <c r="B219" s="608"/>
      <c r="C219" s="608"/>
      <c r="D219" s="608"/>
      <c r="E219" s="609"/>
      <c r="F219" s="609"/>
      <c r="G219" s="609"/>
      <c r="H219" s="609"/>
      <c r="I219" s="609"/>
      <c r="J219" s="609"/>
      <c r="K219" s="609"/>
      <c r="M219" s="453"/>
      <c r="N219" s="453"/>
      <c r="O219" s="453"/>
      <c r="P219" s="453"/>
      <c r="Q219" s="453"/>
      <c r="R219" s="453"/>
      <c r="S219" s="453"/>
      <c r="T219" s="453"/>
      <c r="U219" s="453"/>
      <c r="V219" s="453"/>
      <c r="W219" s="453"/>
      <c r="X219" s="453"/>
      <c r="Y219" s="453"/>
      <c r="Z219" s="453"/>
      <c r="AA219" s="453"/>
    </row>
    <row r="220" spans="1:27" s="583" customFormat="1" x14ac:dyDescent="0.25">
      <c r="A220" s="608"/>
      <c r="B220" s="608"/>
      <c r="C220" s="608"/>
      <c r="D220" s="608"/>
      <c r="E220" s="609"/>
      <c r="F220" s="609"/>
      <c r="G220" s="609"/>
      <c r="H220" s="609"/>
      <c r="I220" s="609"/>
      <c r="J220" s="609"/>
      <c r="K220" s="609"/>
      <c r="M220" s="453"/>
      <c r="N220" s="453"/>
      <c r="O220" s="453"/>
      <c r="P220" s="453"/>
      <c r="Q220" s="453"/>
      <c r="R220" s="453"/>
      <c r="S220" s="453"/>
      <c r="T220" s="453"/>
      <c r="U220" s="453"/>
      <c r="V220" s="453"/>
      <c r="W220" s="453"/>
      <c r="X220" s="453"/>
      <c r="Y220" s="453"/>
      <c r="Z220" s="453"/>
      <c r="AA220" s="453"/>
    </row>
    <row r="221" spans="1:27" s="583" customFormat="1" x14ac:dyDescent="0.25">
      <c r="A221" s="608"/>
      <c r="B221" s="608"/>
      <c r="C221" s="608"/>
      <c r="D221" s="608"/>
      <c r="E221" s="609"/>
      <c r="F221" s="609"/>
      <c r="G221" s="609"/>
      <c r="H221" s="609"/>
      <c r="I221" s="609"/>
      <c r="J221" s="609"/>
      <c r="K221" s="609"/>
      <c r="M221" s="453"/>
      <c r="N221" s="453"/>
      <c r="O221" s="453"/>
      <c r="P221" s="453"/>
      <c r="Q221" s="453"/>
      <c r="R221" s="453"/>
      <c r="S221" s="453"/>
      <c r="T221" s="453"/>
      <c r="U221" s="453"/>
      <c r="V221" s="453"/>
      <c r="W221" s="453"/>
      <c r="X221" s="453"/>
      <c r="Y221" s="453"/>
      <c r="Z221" s="453"/>
      <c r="AA221" s="453"/>
    </row>
    <row r="222" spans="1:27" s="583" customFormat="1" x14ac:dyDescent="0.25">
      <c r="A222" s="608"/>
      <c r="B222" s="608"/>
      <c r="C222" s="608"/>
      <c r="D222" s="608"/>
      <c r="E222" s="609"/>
      <c r="F222" s="609"/>
      <c r="G222" s="609"/>
      <c r="H222" s="609"/>
      <c r="I222" s="609"/>
      <c r="J222" s="609"/>
      <c r="K222" s="609"/>
      <c r="M222" s="453"/>
      <c r="N222" s="453"/>
      <c r="O222" s="453"/>
      <c r="P222" s="453"/>
      <c r="Q222" s="453"/>
      <c r="R222" s="453"/>
      <c r="S222" s="453"/>
      <c r="T222" s="453"/>
      <c r="U222" s="453"/>
      <c r="V222" s="453"/>
      <c r="W222" s="453"/>
      <c r="X222" s="453"/>
      <c r="Y222" s="453"/>
      <c r="Z222" s="453"/>
      <c r="AA222" s="453"/>
    </row>
    <row r="223" spans="1:27" s="583" customFormat="1" x14ac:dyDescent="0.25">
      <c r="A223" s="608"/>
      <c r="B223" s="608"/>
      <c r="C223" s="608"/>
      <c r="D223" s="608"/>
      <c r="E223" s="609"/>
      <c r="F223" s="609"/>
      <c r="G223" s="609"/>
      <c r="H223" s="609"/>
      <c r="I223" s="609"/>
      <c r="J223" s="609"/>
      <c r="K223" s="609"/>
      <c r="M223" s="453"/>
      <c r="N223" s="453"/>
      <c r="O223" s="453"/>
      <c r="P223" s="453"/>
      <c r="Q223" s="453"/>
      <c r="R223" s="453"/>
      <c r="S223" s="453"/>
      <c r="T223" s="453"/>
      <c r="U223" s="453"/>
      <c r="V223" s="453"/>
      <c r="W223" s="453"/>
      <c r="X223" s="453"/>
      <c r="Y223" s="453"/>
      <c r="Z223" s="453"/>
      <c r="AA223" s="453"/>
    </row>
    <row r="224" spans="1:27" s="583" customFormat="1" x14ac:dyDescent="0.25">
      <c r="A224" s="608"/>
      <c r="B224" s="608"/>
      <c r="C224" s="608"/>
      <c r="D224" s="608"/>
      <c r="E224" s="609"/>
      <c r="F224" s="609"/>
      <c r="G224" s="609"/>
      <c r="H224" s="609"/>
      <c r="I224" s="609"/>
      <c r="J224" s="609"/>
      <c r="K224" s="609"/>
      <c r="M224" s="453"/>
      <c r="N224" s="453"/>
      <c r="O224" s="453"/>
      <c r="P224" s="453"/>
      <c r="Q224" s="453"/>
      <c r="R224" s="453"/>
      <c r="S224" s="453"/>
      <c r="T224" s="453"/>
      <c r="U224" s="453"/>
      <c r="V224" s="453"/>
      <c r="W224" s="453"/>
      <c r="X224" s="453"/>
      <c r="Y224" s="453"/>
      <c r="Z224" s="453"/>
      <c r="AA224" s="453"/>
    </row>
    <row r="225" spans="1:27" s="583" customFormat="1" x14ac:dyDescent="0.25">
      <c r="A225" s="608"/>
      <c r="B225" s="608"/>
      <c r="C225" s="608"/>
      <c r="D225" s="608"/>
      <c r="E225" s="609"/>
      <c r="F225" s="609"/>
      <c r="G225" s="609"/>
      <c r="H225" s="609"/>
      <c r="I225" s="609"/>
      <c r="J225" s="609"/>
      <c r="K225" s="609"/>
      <c r="M225" s="453"/>
      <c r="N225" s="453"/>
      <c r="O225" s="453"/>
      <c r="P225" s="453"/>
      <c r="Q225" s="453"/>
      <c r="R225" s="453"/>
      <c r="S225" s="453"/>
      <c r="T225" s="453"/>
      <c r="U225" s="453"/>
      <c r="V225" s="453"/>
      <c r="W225" s="453"/>
      <c r="X225" s="453"/>
      <c r="Y225" s="453"/>
      <c r="Z225" s="453"/>
      <c r="AA225" s="453"/>
    </row>
    <row r="226" spans="1:27" s="583" customFormat="1" x14ac:dyDescent="0.25">
      <c r="A226" s="608"/>
      <c r="B226" s="608"/>
      <c r="C226" s="608"/>
      <c r="D226" s="608"/>
      <c r="E226" s="609"/>
      <c r="F226" s="609"/>
      <c r="G226" s="609"/>
      <c r="H226" s="609"/>
      <c r="I226" s="609"/>
      <c r="J226" s="609"/>
      <c r="K226" s="609"/>
      <c r="M226" s="453"/>
      <c r="N226" s="453"/>
      <c r="O226" s="453"/>
      <c r="P226" s="453"/>
      <c r="Q226" s="453"/>
      <c r="R226" s="453"/>
      <c r="S226" s="453"/>
      <c r="T226" s="453"/>
      <c r="U226" s="453"/>
      <c r="V226" s="453"/>
      <c r="W226" s="453"/>
      <c r="X226" s="453"/>
      <c r="Y226" s="453"/>
      <c r="Z226" s="453"/>
      <c r="AA226" s="453"/>
    </row>
    <row r="227" spans="1:27" s="583" customFormat="1" x14ac:dyDescent="0.25">
      <c r="A227" s="608"/>
      <c r="B227" s="608"/>
      <c r="C227" s="608"/>
      <c r="D227" s="608"/>
      <c r="E227" s="609"/>
      <c r="F227" s="609"/>
      <c r="G227" s="609"/>
      <c r="H227" s="609"/>
      <c r="I227" s="609"/>
      <c r="J227" s="609"/>
      <c r="K227" s="609"/>
      <c r="M227" s="453"/>
      <c r="N227" s="453"/>
      <c r="O227" s="453"/>
      <c r="P227" s="453"/>
      <c r="Q227" s="453"/>
      <c r="R227" s="453"/>
      <c r="S227" s="453"/>
      <c r="T227" s="453"/>
      <c r="U227" s="453"/>
      <c r="V227" s="453"/>
      <c r="W227" s="453"/>
      <c r="X227" s="453"/>
      <c r="Y227" s="453"/>
      <c r="Z227" s="453"/>
      <c r="AA227" s="453"/>
    </row>
    <row r="228" spans="1:27" s="583" customFormat="1" x14ac:dyDescent="0.25">
      <c r="A228" s="608"/>
      <c r="B228" s="608"/>
      <c r="C228" s="608"/>
      <c r="D228" s="608"/>
      <c r="E228" s="609"/>
      <c r="F228" s="609"/>
      <c r="G228" s="609"/>
      <c r="H228" s="609"/>
      <c r="I228" s="609"/>
      <c r="J228" s="609"/>
      <c r="K228" s="609"/>
      <c r="M228" s="453"/>
      <c r="N228" s="453"/>
      <c r="O228" s="453"/>
      <c r="P228" s="453"/>
      <c r="Q228" s="453"/>
      <c r="R228" s="453"/>
      <c r="S228" s="453"/>
      <c r="T228" s="453"/>
      <c r="U228" s="453"/>
      <c r="V228" s="453"/>
      <c r="W228" s="453"/>
      <c r="X228" s="453"/>
      <c r="Y228" s="453"/>
      <c r="Z228" s="453"/>
      <c r="AA228" s="453"/>
    </row>
    <row r="229" spans="1:27" s="583" customFormat="1" x14ac:dyDescent="0.25">
      <c r="A229" s="608"/>
      <c r="B229" s="608"/>
      <c r="C229" s="608"/>
      <c r="D229" s="608"/>
      <c r="E229" s="609"/>
      <c r="F229" s="609"/>
      <c r="G229" s="609"/>
      <c r="H229" s="609"/>
      <c r="I229" s="609"/>
      <c r="J229" s="609"/>
      <c r="K229" s="609"/>
      <c r="M229" s="453"/>
      <c r="N229" s="453"/>
      <c r="O229" s="453"/>
      <c r="P229" s="453"/>
      <c r="Q229" s="453"/>
      <c r="R229" s="453"/>
      <c r="S229" s="453"/>
      <c r="T229" s="453"/>
      <c r="U229" s="453"/>
      <c r="V229" s="453"/>
      <c r="W229" s="453"/>
      <c r="X229" s="453"/>
      <c r="Y229" s="453"/>
      <c r="Z229" s="453"/>
      <c r="AA229" s="453"/>
    </row>
    <row r="230" spans="1:27" s="583" customFormat="1" x14ac:dyDescent="0.25">
      <c r="A230" s="608"/>
      <c r="B230" s="608"/>
      <c r="C230" s="608"/>
      <c r="D230" s="608"/>
      <c r="E230" s="609"/>
      <c r="F230" s="609"/>
      <c r="G230" s="609"/>
      <c r="H230" s="609"/>
      <c r="I230" s="609"/>
      <c r="J230" s="609"/>
      <c r="K230" s="609"/>
      <c r="M230" s="453"/>
      <c r="N230" s="453"/>
      <c r="O230" s="453"/>
      <c r="P230" s="453"/>
      <c r="Q230" s="453"/>
      <c r="R230" s="453"/>
      <c r="S230" s="453"/>
      <c r="T230" s="453"/>
      <c r="U230" s="453"/>
      <c r="V230" s="453"/>
      <c r="W230" s="453"/>
      <c r="X230" s="453"/>
      <c r="Y230" s="453"/>
      <c r="Z230" s="453"/>
      <c r="AA230" s="453"/>
    </row>
    <row r="231" spans="1:27" s="583" customFormat="1" x14ac:dyDescent="0.25">
      <c r="A231" s="608"/>
      <c r="B231" s="608"/>
      <c r="C231" s="608"/>
      <c r="D231" s="608"/>
      <c r="E231" s="609"/>
      <c r="F231" s="609"/>
      <c r="G231" s="609"/>
      <c r="H231" s="609"/>
      <c r="I231" s="609"/>
      <c r="J231" s="609"/>
      <c r="K231" s="609"/>
      <c r="M231" s="453"/>
      <c r="N231" s="453"/>
      <c r="O231" s="453"/>
      <c r="P231" s="453"/>
      <c r="Q231" s="453"/>
      <c r="R231" s="453"/>
      <c r="S231" s="453"/>
      <c r="T231" s="453"/>
      <c r="U231" s="453"/>
      <c r="V231" s="453"/>
      <c r="W231" s="453"/>
      <c r="X231" s="453"/>
      <c r="Y231" s="453"/>
      <c r="Z231" s="453"/>
      <c r="AA231" s="453"/>
    </row>
    <row r="232" spans="1:27" s="583" customFormat="1" x14ac:dyDescent="0.25">
      <c r="A232" s="608"/>
      <c r="B232" s="608"/>
      <c r="C232" s="608"/>
      <c r="D232" s="608"/>
      <c r="E232" s="609"/>
      <c r="F232" s="609"/>
      <c r="G232" s="609"/>
      <c r="H232" s="609"/>
      <c r="I232" s="609"/>
      <c r="J232" s="609"/>
      <c r="K232" s="609"/>
      <c r="M232" s="453"/>
      <c r="N232" s="453"/>
      <c r="O232" s="453"/>
      <c r="P232" s="453"/>
      <c r="Q232" s="453"/>
      <c r="R232" s="453"/>
      <c r="S232" s="453"/>
      <c r="T232" s="453"/>
      <c r="U232" s="453"/>
      <c r="V232" s="453"/>
      <c r="W232" s="453"/>
      <c r="X232" s="453"/>
      <c r="Y232" s="453"/>
      <c r="Z232" s="453"/>
      <c r="AA232" s="453"/>
    </row>
    <row r="233" spans="1:27" s="583" customFormat="1" x14ac:dyDescent="0.25">
      <c r="A233" s="608"/>
      <c r="B233" s="608"/>
      <c r="C233" s="608"/>
      <c r="D233" s="608"/>
      <c r="E233" s="609"/>
      <c r="F233" s="609"/>
      <c r="G233" s="609"/>
      <c r="H233" s="609"/>
      <c r="I233" s="609"/>
      <c r="J233" s="609"/>
      <c r="K233" s="609"/>
      <c r="M233" s="453"/>
      <c r="N233" s="453"/>
      <c r="O233" s="453"/>
      <c r="P233" s="453"/>
      <c r="Q233" s="453"/>
      <c r="R233" s="453"/>
      <c r="S233" s="453"/>
      <c r="T233" s="453"/>
      <c r="U233" s="453"/>
      <c r="V233" s="453"/>
      <c r="W233" s="453"/>
      <c r="X233" s="453"/>
      <c r="Y233" s="453"/>
      <c r="Z233" s="453"/>
      <c r="AA233" s="453"/>
    </row>
    <row r="234" spans="1:27" s="583" customFormat="1" x14ac:dyDescent="0.25">
      <c r="A234" s="608"/>
      <c r="B234" s="608"/>
      <c r="C234" s="608"/>
      <c r="D234" s="608"/>
      <c r="E234" s="609"/>
      <c r="F234" s="609"/>
      <c r="G234" s="609"/>
      <c r="H234" s="609"/>
      <c r="I234" s="609"/>
      <c r="J234" s="609"/>
      <c r="K234" s="609"/>
      <c r="M234" s="453"/>
      <c r="N234" s="453"/>
      <c r="O234" s="453"/>
      <c r="P234" s="453"/>
      <c r="Q234" s="453"/>
      <c r="R234" s="453"/>
      <c r="S234" s="453"/>
      <c r="T234" s="453"/>
      <c r="U234" s="453"/>
      <c r="V234" s="453"/>
      <c r="W234" s="453"/>
      <c r="X234" s="453"/>
      <c r="Y234" s="453"/>
      <c r="Z234" s="453"/>
      <c r="AA234" s="453"/>
    </row>
    <row r="235" spans="1:27" s="583" customFormat="1" x14ac:dyDescent="0.25">
      <c r="A235" s="608"/>
      <c r="B235" s="608"/>
      <c r="C235" s="608"/>
      <c r="D235" s="608"/>
      <c r="E235" s="609"/>
      <c r="F235" s="609"/>
      <c r="G235" s="609"/>
      <c r="H235" s="609"/>
      <c r="I235" s="609"/>
      <c r="J235" s="609"/>
      <c r="K235" s="609"/>
      <c r="M235" s="453"/>
      <c r="N235" s="453"/>
      <c r="O235" s="453"/>
      <c r="P235" s="453"/>
      <c r="Q235" s="453"/>
      <c r="R235" s="453"/>
      <c r="S235" s="453"/>
      <c r="T235" s="453"/>
      <c r="U235" s="453"/>
      <c r="V235" s="453"/>
      <c r="W235" s="453"/>
      <c r="X235" s="453"/>
      <c r="Y235" s="453"/>
      <c r="Z235" s="453"/>
      <c r="AA235" s="453"/>
    </row>
    <row r="236" spans="1:27" s="583" customFormat="1" x14ac:dyDescent="0.25">
      <c r="A236" s="608"/>
      <c r="B236" s="608"/>
      <c r="C236" s="608"/>
      <c r="D236" s="608"/>
      <c r="E236" s="609"/>
      <c r="F236" s="609"/>
      <c r="G236" s="609"/>
      <c r="H236" s="609"/>
      <c r="I236" s="609"/>
      <c r="J236" s="609"/>
      <c r="K236" s="609"/>
      <c r="M236" s="453"/>
      <c r="N236" s="453"/>
      <c r="O236" s="453"/>
      <c r="P236" s="453"/>
      <c r="Q236" s="453"/>
      <c r="R236" s="453"/>
      <c r="S236" s="453"/>
      <c r="T236" s="453"/>
      <c r="U236" s="453"/>
      <c r="V236" s="453"/>
      <c r="W236" s="453"/>
      <c r="X236" s="453"/>
      <c r="Y236" s="453"/>
      <c r="Z236" s="453"/>
      <c r="AA236" s="453"/>
    </row>
    <row r="237" spans="1:27" s="583" customFormat="1" x14ac:dyDescent="0.25">
      <c r="A237" s="608"/>
      <c r="B237" s="608"/>
      <c r="C237" s="608"/>
      <c r="D237" s="608"/>
      <c r="E237" s="609"/>
      <c r="F237" s="609"/>
      <c r="G237" s="609"/>
      <c r="H237" s="609"/>
      <c r="I237" s="609"/>
      <c r="J237" s="609"/>
      <c r="K237" s="609"/>
      <c r="M237" s="453"/>
      <c r="N237" s="453"/>
      <c r="O237" s="453"/>
      <c r="P237" s="453"/>
      <c r="Q237" s="453"/>
      <c r="R237" s="453"/>
      <c r="S237" s="453"/>
      <c r="T237" s="453"/>
      <c r="U237" s="453"/>
      <c r="V237" s="453"/>
      <c r="W237" s="453"/>
      <c r="X237" s="453"/>
      <c r="Y237" s="453"/>
      <c r="Z237" s="453"/>
      <c r="AA237" s="453"/>
    </row>
    <row r="238" spans="1:27" s="583" customFormat="1" x14ac:dyDescent="0.25">
      <c r="A238" s="608"/>
      <c r="B238" s="608"/>
      <c r="C238" s="608"/>
      <c r="D238" s="608"/>
      <c r="E238" s="609"/>
      <c r="F238" s="609"/>
      <c r="G238" s="609"/>
      <c r="H238" s="609"/>
      <c r="I238" s="609"/>
      <c r="J238" s="609"/>
      <c r="K238" s="609"/>
      <c r="M238" s="453"/>
      <c r="N238" s="453"/>
      <c r="O238" s="453"/>
      <c r="P238" s="453"/>
      <c r="Q238" s="453"/>
      <c r="R238" s="453"/>
      <c r="S238" s="453"/>
      <c r="T238" s="453"/>
      <c r="U238" s="453"/>
      <c r="V238" s="453"/>
      <c r="W238" s="453"/>
      <c r="X238" s="453"/>
      <c r="Y238" s="453"/>
      <c r="Z238" s="453"/>
      <c r="AA238" s="453"/>
    </row>
    <row r="239" spans="1:27" s="583" customFormat="1" x14ac:dyDescent="0.25">
      <c r="A239" s="608"/>
      <c r="B239" s="608"/>
      <c r="C239" s="608"/>
      <c r="D239" s="608"/>
      <c r="E239" s="609"/>
      <c r="F239" s="609"/>
      <c r="G239" s="609"/>
      <c r="H239" s="609"/>
      <c r="I239" s="609"/>
      <c r="J239" s="609"/>
      <c r="K239" s="609"/>
      <c r="M239" s="453"/>
      <c r="N239" s="453"/>
      <c r="O239" s="453"/>
      <c r="P239" s="453"/>
      <c r="Q239" s="453"/>
      <c r="R239" s="453"/>
      <c r="S239" s="453"/>
      <c r="T239" s="453"/>
      <c r="U239" s="453"/>
      <c r="V239" s="453"/>
      <c r="W239" s="453"/>
      <c r="X239" s="453"/>
      <c r="Y239" s="453"/>
      <c r="Z239" s="453"/>
      <c r="AA239" s="453"/>
    </row>
    <row r="240" spans="1:27" s="583" customFormat="1" x14ac:dyDescent="0.25">
      <c r="A240" s="608"/>
      <c r="B240" s="608"/>
      <c r="C240" s="608"/>
      <c r="D240" s="608"/>
      <c r="E240" s="609"/>
      <c r="F240" s="609"/>
      <c r="G240" s="609"/>
      <c r="H240" s="609"/>
      <c r="I240" s="609"/>
      <c r="J240" s="609"/>
      <c r="K240" s="609"/>
      <c r="M240" s="453"/>
      <c r="N240" s="453"/>
      <c r="O240" s="453"/>
      <c r="P240" s="453"/>
      <c r="Q240" s="453"/>
      <c r="R240" s="453"/>
      <c r="S240" s="453"/>
      <c r="T240" s="453"/>
      <c r="U240" s="453"/>
      <c r="V240" s="453"/>
      <c r="W240" s="453"/>
      <c r="X240" s="453"/>
      <c r="Y240" s="453"/>
      <c r="Z240" s="453"/>
      <c r="AA240" s="453"/>
    </row>
    <row r="241" spans="1:27" s="583" customFormat="1" x14ac:dyDescent="0.25">
      <c r="A241" s="608"/>
      <c r="B241" s="608"/>
      <c r="C241" s="608"/>
      <c r="D241" s="608"/>
      <c r="E241" s="609"/>
      <c r="F241" s="609"/>
      <c r="G241" s="609"/>
      <c r="H241" s="609"/>
      <c r="I241" s="609"/>
      <c r="J241" s="609"/>
      <c r="K241" s="609"/>
      <c r="M241" s="453"/>
      <c r="N241" s="453"/>
      <c r="O241" s="453"/>
      <c r="P241" s="453"/>
      <c r="Q241" s="453"/>
      <c r="R241" s="453"/>
      <c r="S241" s="453"/>
      <c r="T241" s="453"/>
      <c r="U241" s="453"/>
      <c r="V241" s="453"/>
      <c r="W241" s="453"/>
      <c r="X241" s="453"/>
      <c r="Y241" s="453"/>
      <c r="Z241" s="453"/>
      <c r="AA241" s="453"/>
    </row>
    <row r="242" spans="1:27" s="583" customFormat="1" x14ac:dyDescent="0.25">
      <c r="A242" s="608"/>
      <c r="B242" s="608"/>
      <c r="C242" s="608"/>
      <c r="D242" s="608"/>
      <c r="E242" s="609"/>
      <c r="F242" s="609"/>
      <c r="G242" s="609"/>
      <c r="H242" s="609"/>
      <c r="I242" s="609"/>
      <c r="J242" s="609"/>
      <c r="K242" s="609"/>
      <c r="M242" s="453"/>
      <c r="N242" s="453"/>
      <c r="O242" s="453"/>
      <c r="P242" s="453"/>
      <c r="Q242" s="453"/>
      <c r="R242" s="453"/>
      <c r="S242" s="453"/>
      <c r="T242" s="453"/>
      <c r="U242" s="453"/>
      <c r="V242" s="453"/>
      <c r="W242" s="453"/>
      <c r="X242" s="453"/>
      <c r="Y242" s="453"/>
      <c r="Z242" s="453"/>
      <c r="AA242" s="453"/>
    </row>
    <row r="243" spans="1:27" s="583" customFormat="1" x14ac:dyDescent="0.25">
      <c r="A243" s="608"/>
      <c r="B243" s="608"/>
      <c r="C243" s="608"/>
      <c r="D243" s="608"/>
      <c r="E243" s="609"/>
      <c r="F243" s="609"/>
      <c r="G243" s="609"/>
      <c r="H243" s="609"/>
      <c r="I243" s="609"/>
      <c r="J243" s="609"/>
      <c r="K243" s="609"/>
      <c r="M243" s="453"/>
      <c r="N243" s="453"/>
      <c r="O243" s="453"/>
      <c r="P243" s="453"/>
      <c r="Q243" s="453"/>
      <c r="R243" s="453"/>
      <c r="S243" s="453"/>
      <c r="T243" s="453"/>
      <c r="U243" s="453"/>
      <c r="V243" s="453"/>
      <c r="W243" s="453"/>
      <c r="X243" s="453"/>
      <c r="Y243" s="453"/>
      <c r="Z243" s="453"/>
      <c r="AA243" s="453"/>
    </row>
    <row r="244" spans="1:27" s="583" customFormat="1" x14ac:dyDescent="0.25">
      <c r="A244" s="608"/>
      <c r="B244" s="608"/>
      <c r="C244" s="608"/>
      <c r="D244" s="608"/>
      <c r="E244" s="609"/>
      <c r="F244" s="609"/>
      <c r="G244" s="609"/>
      <c r="H244" s="609"/>
      <c r="I244" s="609"/>
      <c r="J244" s="609"/>
      <c r="K244" s="609"/>
      <c r="M244" s="453"/>
      <c r="N244" s="453"/>
      <c r="O244" s="453"/>
      <c r="P244" s="453"/>
      <c r="Q244" s="453"/>
      <c r="R244" s="453"/>
      <c r="S244" s="453"/>
      <c r="T244" s="453"/>
      <c r="U244" s="453"/>
      <c r="V244" s="453"/>
      <c r="W244" s="453"/>
      <c r="X244" s="453"/>
      <c r="Y244" s="453"/>
      <c r="Z244" s="453"/>
      <c r="AA244" s="453"/>
    </row>
    <row r="245" spans="1:27" s="583" customFormat="1" x14ac:dyDescent="0.25">
      <c r="A245" s="608"/>
      <c r="B245" s="608"/>
      <c r="C245" s="608"/>
      <c r="D245" s="608"/>
      <c r="E245" s="609"/>
      <c r="F245" s="609"/>
      <c r="G245" s="609"/>
      <c r="H245" s="609"/>
      <c r="I245" s="609"/>
      <c r="J245" s="609"/>
      <c r="K245" s="609"/>
      <c r="M245" s="453"/>
      <c r="N245" s="453"/>
      <c r="O245" s="453"/>
      <c r="P245" s="453"/>
      <c r="Q245" s="453"/>
      <c r="R245" s="453"/>
      <c r="S245" s="453"/>
      <c r="T245" s="453"/>
      <c r="U245" s="453"/>
      <c r="V245" s="453"/>
      <c r="W245" s="453"/>
      <c r="X245" s="453"/>
      <c r="Y245" s="453"/>
      <c r="Z245" s="453"/>
      <c r="AA245" s="453"/>
    </row>
    <row r="246" spans="1:27" s="583" customFormat="1" x14ac:dyDescent="0.25">
      <c r="A246" s="608"/>
      <c r="B246" s="608"/>
      <c r="C246" s="608"/>
      <c r="D246" s="608"/>
      <c r="E246" s="609"/>
      <c r="F246" s="609"/>
      <c r="G246" s="609"/>
      <c r="H246" s="609"/>
      <c r="I246" s="609"/>
      <c r="J246" s="609"/>
      <c r="K246" s="609"/>
      <c r="M246" s="453"/>
      <c r="N246" s="453"/>
      <c r="O246" s="453"/>
      <c r="P246" s="453"/>
      <c r="Q246" s="453"/>
      <c r="R246" s="453"/>
      <c r="S246" s="453"/>
      <c r="T246" s="453"/>
      <c r="U246" s="453"/>
      <c r="V246" s="453"/>
      <c r="W246" s="453"/>
      <c r="X246" s="453"/>
      <c r="Y246" s="453"/>
      <c r="Z246" s="453"/>
      <c r="AA246" s="453"/>
    </row>
    <row r="247" spans="1:27" s="583" customFormat="1" x14ac:dyDescent="0.25">
      <c r="A247" s="608"/>
      <c r="B247" s="608"/>
      <c r="C247" s="608"/>
      <c r="D247" s="608"/>
      <c r="E247" s="609"/>
      <c r="F247" s="609"/>
      <c r="G247" s="609"/>
      <c r="H247" s="609"/>
      <c r="I247" s="609"/>
      <c r="J247" s="609"/>
      <c r="K247" s="609"/>
      <c r="M247" s="453"/>
      <c r="N247" s="453"/>
      <c r="O247" s="453"/>
      <c r="P247" s="453"/>
      <c r="Q247" s="453"/>
      <c r="R247" s="453"/>
      <c r="S247" s="453"/>
      <c r="T247" s="453"/>
      <c r="U247" s="453"/>
      <c r="V247" s="453"/>
      <c r="W247" s="453"/>
      <c r="X247" s="453"/>
      <c r="Y247" s="453"/>
      <c r="Z247" s="453"/>
      <c r="AA247" s="453"/>
    </row>
    <row r="248" spans="1:27" s="583" customFormat="1" x14ac:dyDescent="0.25">
      <c r="A248" s="608"/>
      <c r="B248" s="608"/>
      <c r="C248" s="608"/>
      <c r="D248" s="608"/>
      <c r="E248" s="609"/>
      <c r="F248" s="609"/>
      <c r="G248" s="609"/>
      <c r="H248" s="609"/>
      <c r="I248" s="609"/>
      <c r="J248" s="609"/>
      <c r="K248" s="609"/>
      <c r="M248" s="453"/>
      <c r="N248" s="453"/>
      <c r="O248" s="453"/>
      <c r="P248" s="453"/>
      <c r="Q248" s="453"/>
      <c r="R248" s="453"/>
      <c r="S248" s="453"/>
      <c r="T248" s="453"/>
      <c r="U248" s="453"/>
      <c r="V248" s="453"/>
      <c r="W248" s="453"/>
      <c r="X248" s="453"/>
      <c r="Y248" s="453"/>
      <c r="Z248" s="453"/>
      <c r="AA248" s="453"/>
    </row>
    <row r="249" spans="1:27" s="583" customFormat="1" x14ac:dyDescent="0.25">
      <c r="A249" s="608"/>
      <c r="B249" s="608"/>
      <c r="C249" s="608"/>
      <c r="D249" s="608"/>
      <c r="E249" s="609"/>
      <c r="F249" s="609"/>
      <c r="G249" s="609"/>
      <c r="H249" s="609"/>
      <c r="I249" s="609"/>
      <c r="J249" s="609"/>
      <c r="K249" s="609"/>
      <c r="M249" s="453"/>
      <c r="N249" s="453"/>
      <c r="O249" s="453"/>
      <c r="P249" s="453"/>
      <c r="Q249" s="453"/>
      <c r="R249" s="453"/>
      <c r="S249" s="453"/>
      <c r="T249" s="453"/>
      <c r="U249" s="453"/>
      <c r="V249" s="453"/>
      <c r="W249" s="453"/>
      <c r="X249" s="453"/>
      <c r="Y249" s="453"/>
      <c r="Z249" s="453"/>
      <c r="AA249" s="453"/>
    </row>
    <row r="250" spans="1:27" s="583" customFormat="1" x14ac:dyDescent="0.25">
      <c r="A250" s="608"/>
      <c r="B250" s="608"/>
      <c r="C250" s="608"/>
      <c r="D250" s="608"/>
      <c r="E250" s="609"/>
      <c r="F250" s="609"/>
      <c r="G250" s="609"/>
      <c r="H250" s="609"/>
      <c r="I250" s="609"/>
      <c r="J250" s="609"/>
      <c r="K250" s="609"/>
      <c r="M250" s="453"/>
      <c r="N250" s="453"/>
      <c r="O250" s="453"/>
      <c r="P250" s="453"/>
      <c r="Q250" s="453"/>
      <c r="R250" s="453"/>
      <c r="S250" s="453"/>
      <c r="T250" s="453"/>
      <c r="U250" s="453"/>
      <c r="V250" s="453"/>
      <c r="W250" s="453"/>
      <c r="X250" s="453"/>
      <c r="Y250" s="453"/>
      <c r="Z250" s="453"/>
      <c r="AA250" s="453"/>
    </row>
    <row r="251" spans="1:27" s="583" customFormat="1" x14ac:dyDescent="0.25">
      <c r="A251" s="608"/>
      <c r="B251" s="608"/>
      <c r="C251" s="608"/>
      <c r="D251" s="608"/>
      <c r="E251" s="609"/>
      <c r="F251" s="609"/>
      <c r="G251" s="609"/>
      <c r="H251" s="609"/>
      <c r="I251" s="609"/>
      <c r="J251" s="609"/>
      <c r="K251" s="609"/>
      <c r="M251" s="453"/>
      <c r="N251" s="453"/>
      <c r="O251" s="453"/>
      <c r="P251" s="453"/>
      <c r="Q251" s="453"/>
      <c r="R251" s="453"/>
      <c r="S251" s="453"/>
      <c r="T251" s="453"/>
      <c r="U251" s="453"/>
      <c r="V251" s="453"/>
      <c r="W251" s="453"/>
      <c r="X251" s="453"/>
      <c r="Y251" s="453"/>
      <c r="Z251" s="453"/>
      <c r="AA251" s="453"/>
    </row>
    <row r="252" spans="1:27" s="583" customFormat="1" x14ac:dyDescent="0.25">
      <c r="A252" s="608"/>
      <c r="B252" s="608"/>
      <c r="C252" s="608"/>
      <c r="D252" s="608"/>
      <c r="E252" s="609"/>
      <c r="F252" s="609"/>
      <c r="G252" s="609"/>
      <c r="H252" s="609"/>
      <c r="I252" s="609"/>
      <c r="J252" s="609"/>
      <c r="K252" s="609"/>
      <c r="M252" s="453"/>
      <c r="N252" s="453"/>
      <c r="O252" s="453"/>
      <c r="P252" s="453"/>
      <c r="Q252" s="453"/>
      <c r="R252" s="453"/>
      <c r="S252" s="453"/>
      <c r="T252" s="453"/>
      <c r="U252" s="453"/>
      <c r="V252" s="453"/>
      <c r="W252" s="453"/>
      <c r="X252" s="453"/>
      <c r="Y252" s="453"/>
      <c r="Z252" s="453"/>
      <c r="AA252" s="453"/>
    </row>
    <row r="253" spans="1:27" s="583" customFormat="1" x14ac:dyDescent="0.25">
      <c r="A253" s="608"/>
      <c r="B253" s="608"/>
      <c r="C253" s="608"/>
      <c r="D253" s="608"/>
      <c r="E253" s="609"/>
      <c r="F253" s="609"/>
      <c r="G253" s="609"/>
      <c r="H253" s="609"/>
      <c r="I253" s="609"/>
      <c r="J253" s="609"/>
      <c r="K253" s="609"/>
      <c r="M253" s="453"/>
      <c r="N253" s="453"/>
      <c r="O253" s="453"/>
      <c r="P253" s="453"/>
      <c r="Q253" s="453"/>
      <c r="R253" s="453"/>
      <c r="S253" s="453"/>
      <c r="T253" s="453"/>
      <c r="U253" s="453"/>
      <c r="V253" s="453"/>
      <c r="W253" s="453"/>
      <c r="X253" s="453"/>
      <c r="Y253" s="453"/>
      <c r="Z253" s="453"/>
      <c r="AA253" s="453"/>
    </row>
    <row r="254" spans="1:27" s="583" customFormat="1" x14ac:dyDescent="0.25">
      <c r="A254" s="608"/>
      <c r="B254" s="608"/>
      <c r="C254" s="608"/>
      <c r="D254" s="608"/>
      <c r="E254" s="609"/>
      <c r="F254" s="609"/>
      <c r="G254" s="609"/>
      <c r="H254" s="609"/>
      <c r="I254" s="609"/>
      <c r="J254" s="609"/>
      <c r="K254" s="609"/>
      <c r="M254" s="453"/>
      <c r="N254" s="453"/>
      <c r="O254" s="453"/>
      <c r="P254" s="453"/>
      <c r="Q254" s="453"/>
      <c r="R254" s="453"/>
      <c r="S254" s="453"/>
      <c r="T254" s="453"/>
      <c r="U254" s="453"/>
      <c r="V254" s="453"/>
      <c r="W254" s="453"/>
      <c r="X254" s="453"/>
      <c r="Y254" s="453"/>
      <c r="Z254" s="453"/>
      <c r="AA254" s="453"/>
    </row>
    <row r="255" spans="1:27" s="583" customFormat="1" x14ac:dyDescent="0.25">
      <c r="A255" s="608"/>
      <c r="B255" s="608"/>
      <c r="C255" s="608"/>
      <c r="D255" s="608"/>
      <c r="E255" s="609"/>
      <c r="F255" s="609"/>
      <c r="G255" s="609"/>
      <c r="H255" s="609"/>
      <c r="I255" s="609"/>
      <c r="J255" s="609"/>
      <c r="K255" s="609"/>
      <c r="M255" s="453"/>
      <c r="N255" s="453"/>
      <c r="O255" s="453"/>
      <c r="P255" s="453"/>
      <c r="Q255" s="453"/>
      <c r="R255" s="453"/>
      <c r="S255" s="453"/>
      <c r="T255" s="453"/>
      <c r="U255" s="453"/>
      <c r="V255" s="453"/>
      <c r="W255" s="453"/>
      <c r="X255" s="453"/>
      <c r="Y255" s="453"/>
      <c r="Z255" s="453"/>
      <c r="AA255" s="453"/>
    </row>
    <row r="256" spans="1:27" s="583" customFormat="1" x14ac:dyDescent="0.25">
      <c r="A256" s="608"/>
      <c r="B256" s="608"/>
      <c r="C256" s="608"/>
      <c r="D256" s="608"/>
      <c r="E256" s="609"/>
      <c r="F256" s="609"/>
      <c r="G256" s="609"/>
      <c r="H256" s="609"/>
      <c r="I256" s="609"/>
      <c r="J256" s="609"/>
      <c r="K256" s="609"/>
      <c r="M256" s="453"/>
      <c r="N256" s="453"/>
      <c r="O256" s="453"/>
      <c r="P256" s="453"/>
      <c r="Q256" s="453"/>
      <c r="R256" s="453"/>
      <c r="S256" s="453"/>
      <c r="T256" s="453"/>
      <c r="U256" s="453"/>
      <c r="V256" s="453"/>
      <c r="W256" s="453"/>
      <c r="X256" s="453"/>
      <c r="Y256" s="453"/>
      <c r="Z256" s="453"/>
      <c r="AA256" s="453"/>
    </row>
    <row r="257" spans="1:27" s="583" customFormat="1" x14ac:dyDescent="0.25">
      <c r="A257" s="608"/>
      <c r="B257" s="608"/>
      <c r="C257" s="608"/>
      <c r="D257" s="608"/>
      <c r="E257" s="609"/>
      <c r="F257" s="609"/>
      <c r="G257" s="609"/>
      <c r="H257" s="609"/>
      <c r="I257" s="609"/>
      <c r="J257" s="609"/>
      <c r="K257" s="609"/>
      <c r="M257" s="453"/>
      <c r="N257" s="453"/>
      <c r="O257" s="453"/>
      <c r="P257" s="453"/>
      <c r="Q257" s="453"/>
      <c r="R257" s="453"/>
      <c r="S257" s="453"/>
      <c r="T257" s="453"/>
      <c r="U257" s="453"/>
      <c r="V257" s="453"/>
      <c r="W257" s="453"/>
      <c r="X257" s="453"/>
      <c r="Y257" s="453"/>
      <c r="Z257" s="453"/>
      <c r="AA257" s="453"/>
    </row>
    <row r="258" spans="1:27" s="583" customFormat="1" x14ac:dyDescent="0.25">
      <c r="A258" s="608"/>
      <c r="B258" s="608"/>
      <c r="C258" s="608"/>
      <c r="D258" s="608"/>
      <c r="E258" s="609"/>
      <c r="F258" s="609"/>
      <c r="G258" s="609"/>
      <c r="H258" s="609"/>
      <c r="I258" s="609"/>
      <c r="J258" s="609"/>
      <c r="K258" s="609"/>
      <c r="M258" s="453"/>
      <c r="N258" s="453"/>
      <c r="O258" s="453"/>
      <c r="P258" s="453"/>
      <c r="Q258" s="453"/>
      <c r="R258" s="453"/>
      <c r="S258" s="453"/>
      <c r="T258" s="453"/>
      <c r="U258" s="453"/>
      <c r="V258" s="453"/>
      <c r="W258" s="453"/>
      <c r="X258" s="453"/>
      <c r="Y258" s="453"/>
      <c r="Z258" s="453"/>
      <c r="AA258" s="453"/>
    </row>
    <row r="259" spans="1:27" s="583" customFormat="1" x14ac:dyDescent="0.25">
      <c r="A259" s="608"/>
      <c r="B259" s="608"/>
      <c r="C259" s="608"/>
      <c r="D259" s="608"/>
      <c r="E259" s="609"/>
      <c r="F259" s="609"/>
      <c r="G259" s="609"/>
      <c r="H259" s="609"/>
      <c r="I259" s="609"/>
      <c r="J259" s="609"/>
      <c r="K259" s="609"/>
      <c r="M259" s="453"/>
      <c r="N259" s="453"/>
      <c r="O259" s="453"/>
      <c r="P259" s="453"/>
      <c r="Q259" s="453"/>
      <c r="R259" s="453"/>
      <c r="S259" s="453"/>
      <c r="T259" s="453"/>
      <c r="U259" s="453"/>
      <c r="V259" s="453"/>
      <c r="W259" s="453"/>
      <c r="X259" s="453"/>
      <c r="Y259" s="453"/>
      <c r="Z259" s="453"/>
      <c r="AA259" s="453"/>
    </row>
    <row r="260" spans="1:27" s="583" customFormat="1" x14ac:dyDescent="0.25">
      <c r="A260" s="608"/>
      <c r="B260" s="608"/>
      <c r="C260" s="608"/>
      <c r="D260" s="608"/>
      <c r="E260" s="609"/>
      <c r="F260" s="609"/>
      <c r="G260" s="609"/>
      <c r="H260" s="609"/>
      <c r="I260" s="609"/>
      <c r="J260" s="609"/>
      <c r="K260" s="609"/>
      <c r="M260" s="453"/>
      <c r="N260" s="453"/>
      <c r="O260" s="453"/>
      <c r="P260" s="453"/>
      <c r="Q260" s="453"/>
      <c r="R260" s="453"/>
      <c r="S260" s="453"/>
      <c r="T260" s="453"/>
      <c r="U260" s="453"/>
      <c r="V260" s="453"/>
      <c r="W260" s="453"/>
      <c r="X260" s="453"/>
      <c r="Y260" s="453"/>
      <c r="Z260" s="453"/>
      <c r="AA260" s="453"/>
    </row>
    <row r="261" spans="1:27" s="583" customFormat="1" x14ac:dyDescent="0.25">
      <c r="A261" s="608"/>
      <c r="B261" s="608"/>
      <c r="C261" s="608"/>
      <c r="D261" s="608"/>
      <c r="E261" s="609"/>
      <c r="F261" s="609"/>
      <c r="G261" s="609"/>
      <c r="H261" s="609"/>
      <c r="I261" s="609"/>
      <c r="J261" s="609"/>
      <c r="K261" s="609"/>
      <c r="M261" s="453"/>
      <c r="N261" s="453"/>
      <c r="O261" s="453"/>
      <c r="P261" s="453"/>
      <c r="Q261" s="453"/>
      <c r="R261" s="453"/>
      <c r="S261" s="453"/>
      <c r="T261" s="453"/>
      <c r="U261" s="453"/>
      <c r="V261" s="453"/>
      <c r="W261" s="453"/>
      <c r="X261" s="453"/>
      <c r="Y261" s="453"/>
      <c r="Z261" s="453"/>
      <c r="AA261" s="453"/>
    </row>
    <row r="262" spans="1:27" s="583" customFormat="1" x14ac:dyDescent="0.25">
      <c r="A262" s="608"/>
      <c r="B262" s="608"/>
      <c r="C262" s="608"/>
      <c r="D262" s="608"/>
      <c r="E262" s="609"/>
      <c r="F262" s="609"/>
      <c r="G262" s="609"/>
      <c r="H262" s="609"/>
      <c r="I262" s="609"/>
      <c r="J262" s="609"/>
      <c r="K262" s="609"/>
      <c r="M262" s="453"/>
      <c r="N262" s="453"/>
      <c r="O262" s="453"/>
      <c r="P262" s="453"/>
      <c r="Q262" s="453"/>
      <c r="R262" s="453"/>
      <c r="S262" s="453"/>
      <c r="T262" s="453"/>
      <c r="U262" s="453"/>
      <c r="V262" s="453"/>
      <c r="W262" s="453"/>
      <c r="X262" s="453"/>
      <c r="Y262" s="453"/>
      <c r="Z262" s="453"/>
      <c r="AA262" s="453"/>
    </row>
    <row r="263" spans="1:27" s="583" customFormat="1" x14ac:dyDescent="0.25">
      <c r="A263" s="608"/>
      <c r="B263" s="608"/>
      <c r="C263" s="608"/>
      <c r="D263" s="608"/>
      <c r="E263" s="609"/>
      <c r="F263" s="609"/>
      <c r="G263" s="609"/>
      <c r="H263" s="609"/>
      <c r="I263" s="609"/>
      <c r="J263" s="609"/>
      <c r="K263" s="609"/>
      <c r="M263" s="453"/>
      <c r="N263" s="453"/>
      <c r="O263" s="453"/>
      <c r="P263" s="453"/>
      <c r="Q263" s="453"/>
      <c r="R263" s="453"/>
      <c r="S263" s="453"/>
      <c r="T263" s="453"/>
      <c r="U263" s="453"/>
      <c r="V263" s="453"/>
      <c r="W263" s="453"/>
      <c r="X263" s="453"/>
      <c r="Y263" s="453"/>
      <c r="Z263" s="453"/>
      <c r="AA263" s="453"/>
    </row>
    <row r="264" spans="1:27" s="583" customFormat="1" x14ac:dyDescent="0.25">
      <c r="A264" s="608"/>
      <c r="B264" s="608"/>
      <c r="C264" s="608"/>
      <c r="D264" s="608"/>
      <c r="E264" s="609"/>
      <c r="F264" s="609"/>
      <c r="G264" s="609"/>
      <c r="H264" s="609"/>
      <c r="I264" s="609"/>
      <c r="J264" s="609"/>
      <c r="K264" s="609"/>
      <c r="M264" s="453"/>
      <c r="N264" s="453"/>
      <c r="O264" s="453"/>
      <c r="P264" s="453"/>
      <c r="Q264" s="453"/>
      <c r="R264" s="453"/>
      <c r="S264" s="453"/>
      <c r="T264" s="453"/>
      <c r="U264" s="453"/>
      <c r="V264" s="453"/>
      <c r="W264" s="453"/>
      <c r="X264" s="453"/>
      <c r="Y264" s="453"/>
      <c r="Z264" s="453"/>
      <c r="AA264" s="453"/>
    </row>
    <row r="265" spans="1:27" s="583" customFormat="1" x14ac:dyDescent="0.25">
      <c r="A265" s="608"/>
      <c r="B265" s="608"/>
      <c r="C265" s="608"/>
      <c r="D265" s="608"/>
      <c r="E265" s="609"/>
      <c r="F265" s="609"/>
      <c r="G265" s="609"/>
      <c r="H265" s="609"/>
      <c r="I265" s="609"/>
      <c r="J265" s="609"/>
      <c r="K265" s="609"/>
      <c r="M265" s="453"/>
      <c r="N265" s="453"/>
      <c r="O265" s="453"/>
      <c r="P265" s="453"/>
      <c r="Q265" s="453"/>
      <c r="R265" s="453"/>
      <c r="S265" s="453"/>
      <c r="T265" s="453"/>
      <c r="U265" s="453"/>
      <c r="V265" s="453"/>
      <c r="W265" s="453"/>
      <c r="X265" s="453"/>
      <c r="Y265" s="453"/>
      <c r="Z265" s="453"/>
      <c r="AA265" s="453"/>
    </row>
    <row r="266" spans="1:27" s="583" customFormat="1" x14ac:dyDescent="0.25">
      <c r="A266" s="608"/>
      <c r="B266" s="608"/>
      <c r="C266" s="608"/>
      <c r="D266" s="608"/>
      <c r="E266" s="609"/>
      <c r="F266" s="609"/>
      <c r="G266" s="609"/>
      <c r="H266" s="609"/>
      <c r="I266" s="609"/>
      <c r="J266" s="609"/>
      <c r="K266" s="609"/>
      <c r="M266" s="453"/>
      <c r="N266" s="453"/>
      <c r="O266" s="453"/>
      <c r="P266" s="453"/>
      <c r="Q266" s="453"/>
      <c r="R266" s="453"/>
      <c r="S266" s="453"/>
      <c r="T266" s="453"/>
      <c r="U266" s="453"/>
      <c r="V266" s="453"/>
      <c r="W266" s="453"/>
      <c r="X266" s="453"/>
      <c r="Y266" s="453"/>
      <c r="Z266" s="453"/>
      <c r="AA266" s="453"/>
    </row>
    <row r="267" spans="1:27" s="583" customFormat="1" x14ac:dyDescent="0.25">
      <c r="A267" s="608"/>
      <c r="B267" s="608"/>
      <c r="C267" s="608"/>
      <c r="D267" s="608"/>
      <c r="E267" s="609"/>
      <c r="F267" s="609"/>
      <c r="G267" s="609"/>
      <c r="H267" s="609"/>
      <c r="I267" s="609"/>
      <c r="J267" s="609"/>
      <c r="K267" s="609"/>
      <c r="M267" s="453"/>
      <c r="N267" s="453"/>
      <c r="O267" s="453"/>
      <c r="P267" s="453"/>
      <c r="Q267" s="453"/>
      <c r="R267" s="453"/>
      <c r="S267" s="453"/>
      <c r="T267" s="453"/>
      <c r="U267" s="453"/>
      <c r="V267" s="453"/>
      <c r="W267" s="453"/>
      <c r="X267" s="453"/>
      <c r="Y267" s="453"/>
      <c r="Z267" s="453"/>
      <c r="AA267" s="453"/>
    </row>
    <row r="268" spans="1:27" s="583" customFormat="1" x14ac:dyDescent="0.25">
      <c r="A268" s="608"/>
      <c r="B268" s="608"/>
      <c r="C268" s="608"/>
      <c r="D268" s="608"/>
      <c r="E268" s="609"/>
      <c r="F268" s="609"/>
      <c r="G268" s="609"/>
      <c r="H268" s="609"/>
      <c r="I268" s="609"/>
      <c r="J268" s="609"/>
      <c r="K268" s="609"/>
      <c r="M268" s="453"/>
      <c r="N268" s="453"/>
      <c r="O268" s="453"/>
      <c r="P268" s="453"/>
      <c r="Q268" s="453"/>
      <c r="R268" s="453"/>
      <c r="S268" s="453"/>
      <c r="T268" s="453"/>
      <c r="U268" s="453"/>
      <c r="V268" s="453"/>
      <c r="W268" s="453"/>
      <c r="X268" s="453"/>
      <c r="Y268" s="453"/>
      <c r="Z268" s="453"/>
      <c r="AA268" s="453"/>
    </row>
    <row r="269" spans="1:27" s="583" customFormat="1" x14ac:dyDescent="0.25">
      <c r="A269" s="608"/>
      <c r="B269" s="608"/>
      <c r="C269" s="608"/>
      <c r="D269" s="608"/>
      <c r="E269" s="609"/>
      <c r="F269" s="609"/>
      <c r="G269" s="609"/>
      <c r="H269" s="609"/>
      <c r="I269" s="609"/>
      <c r="J269" s="609"/>
      <c r="K269" s="609"/>
      <c r="M269" s="453"/>
      <c r="N269" s="453"/>
      <c r="O269" s="453"/>
      <c r="P269" s="453"/>
      <c r="Q269" s="453"/>
      <c r="R269" s="453"/>
      <c r="S269" s="453"/>
      <c r="T269" s="453"/>
      <c r="U269" s="453"/>
      <c r="V269" s="453"/>
      <c r="W269" s="453"/>
      <c r="X269" s="453"/>
      <c r="Y269" s="453"/>
      <c r="Z269" s="453"/>
      <c r="AA269" s="453"/>
    </row>
    <row r="270" spans="1:27" s="583" customFormat="1" x14ac:dyDescent="0.25">
      <c r="A270" s="608"/>
      <c r="B270" s="608"/>
      <c r="C270" s="608"/>
      <c r="D270" s="608"/>
      <c r="E270" s="609"/>
      <c r="F270" s="609"/>
      <c r="G270" s="609"/>
      <c r="H270" s="609"/>
      <c r="I270" s="609"/>
      <c r="J270" s="609"/>
      <c r="K270" s="609"/>
      <c r="M270" s="453"/>
      <c r="N270" s="453"/>
      <c r="O270" s="453"/>
      <c r="P270" s="453"/>
      <c r="Q270" s="453"/>
      <c r="R270" s="453"/>
      <c r="S270" s="453"/>
      <c r="T270" s="453"/>
      <c r="U270" s="453"/>
      <c r="V270" s="453"/>
      <c r="W270" s="453"/>
      <c r="X270" s="453"/>
      <c r="Y270" s="453"/>
      <c r="Z270" s="453"/>
      <c r="AA270" s="453"/>
    </row>
    <row r="271" spans="1:27" s="583" customFormat="1" x14ac:dyDescent="0.25">
      <c r="A271" s="608"/>
      <c r="B271" s="608"/>
      <c r="C271" s="608"/>
      <c r="D271" s="608"/>
      <c r="E271" s="609"/>
      <c r="F271" s="609"/>
      <c r="G271" s="609"/>
      <c r="H271" s="609"/>
      <c r="I271" s="609"/>
      <c r="J271" s="609"/>
      <c r="K271" s="609"/>
      <c r="M271" s="453"/>
      <c r="N271" s="453"/>
      <c r="O271" s="453"/>
      <c r="P271" s="453"/>
      <c r="Q271" s="453"/>
      <c r="R271" s="453"/>
      <c r="S271" s="453"/>
      <c r="T271" s="453"/>
      <c r="U271" s="453"/>
      <c r="V271" s="453"/>
      <c r="W271" s="453"/>
      <c r="X271" s="453"/>
      <c r="Y271" s="453"/>
      <c r="Z271" s="453"/>
      <c r="AA271" s="453"/>
    </row>
    <row r="272" spans="1:27" s="583" customFormat="1" x14ac:dyDescent="0.25">
      <c r="A272" s="608"/>
      <c r="B272" s="608"/>
      <c r="C272" s="608"/>
      <c r="D272" s="608"/>
      <c r="E272" s="609"/>
      <c r="F272" s="609"/>
      <c r="G272" s="609"/>
      <c r="H272" s="609"/>
      <c r="I272" s="609"/>
      <c r="J272" s="609"/>
      <c r="K272" s="609"/>
      <c r="M272" s="453"/>
      <c r="N272" s="453"/>
      <c r="O272" s="453"/>
      <c r="P272" s="453"/>
      <c r="Q272" s="453"/>
      <c r="R272" s="453"/>
      <c r="S272" s="453"/>
      <c r="T272" s="453"/>
      <c r="U272" s="453"/>
      <c r="V272" s="453"/>
      <c r="W272" s="453"/>
      <c r="X272" s="453"/>
      <c r="Y272" s="453"/>
      <c r="Z272" s="453"/>
      <c r="AA272" s="453"/>
    </row>
    <row r="273" spans="1:27" s="583" customFormat="1" x14ac:dyDescent="0.25">
      <c r="A273" s="608"/>
      <c r="B273" s="608"/>
      <c r="C273" s="608"/>
      <c r="D273" s="608"/>
      <c r="E273" s="609"/>
      <c r="F273" s="609"/>
      <c r="G273" s="609"/>
      <c r="H273" s="609"/>
      <c r="I273" s="609"/>
      <c r="J273" s="609"/>
      <c r="K273" s="609"/>
      <c r="M273" s="453"/>
      <c r="N273" s="453"/>
      <c r="O273" s="453"/>
      <c r="P273" s="453"/>
      <c r="Q273" s="453"/>
      <c r="R273" s="453"/>
      <c r="S273" s="453"/>
      <c r="T273" s="453"/>
      <c r="U273" s="453"/>
      <c r="V273" s="453"/>
      <c r="W273" s="453"/>
      <c r="X273" s="453"/>
      <c r="Y273" s="453"/>
      <c r="Z273" s="453"/>
      <c r="AA273" s="453"/>
    </row>
    <row r="274" spans="1:27" s="583" customFormat="1" x14ac:dyDescent="0.25">
      <c r="A274" s="608"/>
      <c r="B274" s="608"/>
      <c r="C274" s="608"/>
      <c r="D274" s="608"/>
      <c r="E274" s="609"/>
      <c r="F274" s="609"/>
      <c r="G274" s="609"/>
      <c r="H274" s="609"/>
      <c r="I274" s="609"/>
      <c r="J274" s="609"/>
      <c r="K274" s="609"/>
      <c r="M274" s="453"/>
      <c r="N274" s="453"/>
      <c r="O274" s="453"/>
      <c r="P274" s="453"/>
      <c r="Q274" s="453"/>
      <c r="R274" s="453"/>
      <c r="S274" s="453"/>
      <c r="T274" s="453"/>
      <c r="U274" s="453"/>
      <c r="V274" s="453"/>
      <c r="W274" s="453"/>
      <c r="X274" s="453"/>
      <c r="Y274" s="453"/>
      <c r="Z274" s="453"/>
      <c r="AA274" s="453"/>
    </row>
    <row r="275" spans="1:27" s="583" customFormat="1" x14ac:dyDescent="0.25">
      <c r="A275" s="608"/>
      <c r="B275" s="608"/>
      <c r="C275" s="608"/>
      <c r="D275" s="608"/>
      <c r="E275" s="609"/>
      <c r="F275" s="609"/>
      <c r="G275" s="609"/>
      <c r="H275" s="609"/>
      <c r="I275" s="609"/>
      <c r="J275" s="609"/>
      <c r="K275" s="609"/>
      <c r="M275" s="453"/>
      <c r="N275" s="453"/>
      <c r="O275" s="453"/>
      <c r="P275" s="453"/>
      <c r="Q275" s="453"/>
      <c r="R275" s="453"/>
      <c r="S275" s="453"/>
      <c r="T275" s="453"/>
      <c r="U275" s="453"/>
      <c r="V275" s="453"/>
      <c r="W275" s="453"/>
      <c r="X275" s="453"/>
      <c r="Y275" s="453"/>
      <c r="Z275" s="453"/>
      <c r="AA275" s="453"/>
    </row>
    <row r="276" spans="1:27" s="583" customFormat="1" x14ac:dyDescent="0.25">
      <c r="A276" s="608"/>
      <c r="B276" s="608"/>
      <c r="C276" s="608"/>
      <c r="D276" s="608"/>
      <c r="E276" s="609"/>
      <c r="F276" s="609"/>
      <c r="G276" s="609"/>
      <c r="H276" s="609"/>
      <c r="I276" s="609"/>
      <c r="J276" s="609"/>
      <c r="K276" s="609"/>
      <c r="M276" s="453"/>
      <c r="N276" s="453"/>
      <c r="O276" s="453"/>
      <c r="P276" s="453"/>
      <c r="Q276" s="453"/>
      <c r="R276" s="453"/>
      <c r="S276" s="453"/>
      <c r="T276" s="453"/>
      <c r="U276" s="453"/>
      <c r="V276" s="453"/>
      <c r="W276" s="453"/>
      <c r="X276" s="453"/>
      <c r="Y276" s="453"/>
      <c r="Z276" s="453"/>
      <c r="AA276" s="453"/>
    </row>
    <row r="277" spans="1:27" s="583" customFormat="1" x14ac:dyDescent="0.25">
      <c r="A277" s="608"/>
      <c r="B277" s="608"/>
      <c r="C277" s="608"/>
      <c r="D277" s="608"/>
      <c r="E277" s="609"/>
      <c r="F277" s="609"/>
      <c r="G277" s="609"/>
      <c r="H277" s="609"/>
      <c r="I277" s="609"/>
      <c r="J277" s="609"/>
      <c r="K277" s="609"/>
      <c r="M277" s="453"/>
      <c r="N277" s="453"/>
      <c r="O277" s="453"/>
      <c r="P277" s="453"/>
      <c r="Q277" s="453"/>
      <c r="R277" s="453"/>
      <c r="S277" s="453"/>
      <c r="T277" s="453"/>
      <c r="U277" s="453"/>
      <c r="V277" s="453"/>
      <c r="W277" s="453"/>
      <c r="X277" s="453"/>
      <c r="Y277" s="453"/>
      <c r="Z277" s="453"/>
      <c r="AA277" s="453"/>
    </row>
    <row r="278" spans="1:27" s="583" customFormat="1" x14ac:dyDescent="0.25">
      <c r="A278" s="608"/>
      <c r="B278" s="608"/>
      <c r="C278" s="608"/>
      <c r="D278" s="608"/>
      <c r="E278" s="609"/>
      <c r="F278" s="609"/>
      <c r="G278" s="609"/>
      <c r="H278" s="609"/>
      <c r="I278" s="609"/>
      <c r="J278" s="609"/>
      <c r="K278" s="609"/>
      <c r="M278" s="453"/>
      <c r="N278" s="453"/>
      <c r="O278" s="453"/>
      <c r="P278" s="453"/>
      <c r="Q278" s="453"/>
      <c r="R278" s="453"/>
      <c r="S278" s="453"/>
      <c r="T278" s="453"/>
      <c r="U278" s="453"/>
      <c r="V278" s="453"/>
      <c r="W278" s="453"/>
      <c r="X278" s="453"/>
      <c r="Y278" s="453"/>
      <c r="Z278" s="453"/>
      <c r="AA278" s="453"/>
    </row>
    <row r="279" spans="1:27" s="583" customFormat="1" x14ac:dyDescent="0.25">
      <c r="A279" s="608"/>
      <c r="B279" s="608"/>
      <c r="C279" s="608"/>
      <c r="D279" s="608"/>
      <c r="E279" s="609"/>
      <c r="F279" s="609"/>
      <c r="G279" s="609"/>
      <c r="H279" s="609"/>
      <c r="I279" s="609"/>
      <c r="J279" s="609"/>
      <c r="K279" s="609"/>
      <c r="M279" s="453"/>
      <c r="N279" s="453"/>
      <c r="O279" s="453"/>
      <c r="P279" s="453"/>
      <c r="Q279" s="453"/>
      <c r="R279" s="453"/>
      <c r="S279" s="453"/>
      <c r="T279" s="453"/>
      <c r="U279" s="453"/>
      <c r="V279" s="453"/>
      <c r="W279" s="453"/>
      <c r="X279" s="453"/>
      <c r="Y279" s="453"/>
      <c r="Z279" s="453"/>
      <c r="AA279" s="453"/>
    </row>
    <row r="280" spans="1:27" s="583" customFormat="1" x14ac:dyDescent="0.25">
      <c r="A280" s="608"/>
      <c r="B280" s="608"/>
      <c r="C280" s="608"/>
      <c r="D280" s="608"/>
      <c r="E280" s="609"/>
      <c r="F280" s="609"/>
      <c r="G280" s="609"/>
      <c r="H280" s="609"/>
      <c r="I280" s="609"/>
      <c r="J280" s="609"/>
      <c r="K280" s="609"/>
      <c r="M280" s="453"/>
      <c r="N280" s="453"/>
      <c r="O280" s="453"/>
      <c r="P280" s="453"/>
      <c r="Q280" s="453"/>
      <c r="R280" s="453"/>
      <c r="S280" s="453"/>
      <c r="T280" s="453"/>
      <c r="U280" s="453"/>
      <c r="V280" s="453"/>
      <c r="W280" s="453"/>
      <c r="X280" s="453"/>
      <c r="Y280" s="453"/>
      <c r="Z280" s="453"/>
      <c r="AA280" s="453"/>
    </row>
    <row r="281" spans="1:27" s="583" customFormat="1" x14ac:dyDescent="0.25">
      <c r="A281" s="608"/>
      <c r="B281" s="608"/>
      <c r="C281" s="608"/>
      <c r="D281" s="608"/>
      <c r="E281" s="609"/>
      <c r="F281" s="609"/>
      <c r="G281" s="609"/>
      <c r="H281" s="609"/>
      <c r="I281" s="609"/>
      <c r="J281" s="609"/>
      <c r="K281" s="609"/>
      <c r="M281" s="453"/>
      <c r="N281" s="453"/>
      <c r="O281" s="453"/>
      <c r="P281" s="453"/>
      <c r="Q281" s="453"/>
      <c r="R281" s="453"/>
      <c r="S281" s="453"/>
      <c r="T281" s="453"/>
      <c r="U281" s="453"/>
      <c r="V281" s="453"/>
      <c r="W281" s="453"/>
      <c r="X281" s="453"/>
      <c r="Y281" s="453"/>
      <c r="Z281" s="453"/>
      <c r="AA281" s="453"/>
    </row>
    <row r="282" spans="1:27" s="583" customFormat="1" x14ac:dyDescent="0.25">
      <c r="A282" s="608"/>
      <c r="B282" s="608"/>
      <c r="C282" s="608"/>
      <c r="D282" s="608"/>
      <c r="E282" s="609"/>
      <c r="F282" s="609"/>
      <c r="G282" s="609"/>
      <c r="H282" s="609"/>
      <c r="I282" s="609"/>
      <c r="J282" s="609"/>
      <c r="K282" s="609"/>
      <c r="M282" s="453"/>
      <c r="N282" s="453"/>
      <c r="O282" s="453"/>
      <c r="P282" s="453"/>
      <c r="Q282" s="453"/>
      <c r="R282" s="453"/>
      <c r="S282" s="453"/>
      <c r="T282" s="453"/>
      <c r="U282" s="453"/>
      <c r="V282" s="453"/>
      <c r="W282" s="453"/>
      <c r="X282" s="453"/>
      <c r="Y282" s="453"/>
      <c r="Z282" s="453"/>
      <c r="AA282" s="453"/>
    </row>
    <row r="283" spans="1:27" s="583" customFormat="1" x14ac:dyDescent="0.25">
      <c r="A283" s="608"/>
      <c r="B283" s="608"/>
      <c r="C283" s="608"/>
      <c r="D283" s="608"/>
      <c r="E283" s="609"/>
      <c r="F283" s="609"/>
      <c r="G283" s="609"/>
      <c r="H283" s="609"/>
      <c r="I283" s="609"/>
      <c r="J283" s="609"/>
      <c r="K283" s="609"/>
      <c r="M283" s="453"/>
      <c r="N283" s="453"/>
      <c r="O283" s="453"/>
      <c r="P283" s="453"/>
      <c r="Q283" s="453"/>
      <c r="R283" s="453"/>
      <c r="S283" s="453"/>
      <c r="T283" s="453"/>
      <c r="U283" s="453"/>
      <c r="V283" s="453"/>
      <c r="W283" s="453"/>
      <c r="X283" s="453"/>
      <c r="Y283" s="453"/>
      <c r="Z283" s="453"/>
      <c r="AA283" s="453"/>
    </row>
    <row r="284" spans="1:27" s="583" customFormat="1" x14ac:dyDescent="0.25">
      <c r="A284" s="608"/>
      <c r="B284" s="608"/>
      <c r="C284" s="608"/>
      <c r="D284" s="608"/>
      <c r="E284" s="609"/>
      <c r="F284" s="609"/>
      <c r="G284" s="609"/>
      <c r="H284" s="609"/>
      <c r="I284" s="609"/>
      <c r="J284" s="609"/>
      <c r="K284" s="609"/>
      <c r="M284" s="453"/>
      <c r="N284" s="453"/>
      <c r="O284" s="453"/>
      <c r="P284" s="453"/>
      <c r="Q284" s="453"/>
      <c r="R284" s="453"/>
      <c r="S284" s="453"/>
      <c r="T284" s="453"/>
      <c r="U284" s="453"/>
      <c r="V284" s="453"/>
      <c r="W284" s="453"/>
      <c r="X284" s="453"/>
      <c r="Y284" s="453"/>
      <c r="Z284" s="453"/>
      <c r="AA284" s="453"/>
    </row>
    <row r="285" spans="1:27" s="583" customFormat="1" x14ac:dyDescent="0.25">
      <c r="A285" s="608"/>
      <c r="B285" s="608"/>
      <c r="C285" s="608"/>
      <c r="D285" s="608"/>
      <c r="E285" s="609"/>
      <c r="F285" s="609"/>
      <c r="G285" s="609"/>
      <c r="H285" s="609"/>
      <c r="I285" s="609"/>
      <c r="J285" s="609"/>
      <c r="K285" s="609"/>
      <c r="M285" s="453"/>
      <c r="N285" s="453"/>
      <c r="O285" s="453"/>
      <c r="P285" s="453"/>
      <c r="Q285" s="453"/>
      <c r="R285" s="453"/>
      <c r="S285" s="453"/>
      <c r="T285" s="453"/>
      <c r="U285" s="453"/>
      <c r="V285" s="453"/>
      <c r="W285" s="453"/>
      <c r="X285" s="453"/>
      <c r="Y285" s="453"/>
      <c r="Z285" s="453"/>
      <c r="AA285" s="453"/>
    </row>
    <row r="286" spans="1:27" s="583" customFormat="1" x14ac:dyDescent="0.25">
      <c r="A286" s="608"/>
      <c r="B286" s="608"/>
      <c r="C286" s="608"/>
      <c r="D286" s="608"/>
      <c r="E286" s="609"/>
      <c r="F286" s="609"/>
      <c r="G286" s="609"/>
      <c r="H286" s="609"/>
      <c r="I286" s="609"/>
      <c r="J286" s="609"/>
      <c r="K286" s="609"/>
      <c r="M286" s="453"/>
      <c r="N286" s="453"/>
      <c r="O286" s="453"/>
      <c r="P286" s="453"/>
      <c r="Q286" s="453"/>
      <c r="R286" s="453"/>
      <c r="S286" s="453"/>
      <c r="T286" s="453"/>
      <c r="U286" s="453"/>
      <c r="V286" s="453"/>
      <c r="W286" s="453"/>
      <c r="X286" s="453"/>
      <c r="Y286" s="453"/>
      <c r="Z286" s="453"/>
      <c r="AA286" s="453"/>
    </row>
    <row r="287" spans="1:27" s="583" customFormat="1" x14ac:dyDescent="0.25">
      <c r="A287" s="608"/>
      <c r="B287" s="608"/>
      <c r="C287" s="608"/>
      <c r="D287" s="608"/>
      <c r="E287" s="609"/>
      <c r="F287" s="609"/>
      <c r="G287" s="609"/>
      <c r="H287" s="609"/>
      <c r="I287" s="609"/>
      <c r="J287" s="609"/>
      <c r="K287" s="609"/>
      <c r="M287" s="453"/>
      <c r="N287" s="453"/>
      <c r="O287" s="453"/>
      <c r="P287" s="453"/>
      <c r="Q287" s="453"/>
      <c r="R287" s="453"/>
      <c r="S287" s="453"/>
      <c r="T287" s="453"/>
      <c r="U287" s="453"/>
      <c r="V287" s="453"/>
      <c r="W287" s="453"/>
      <c r="X287" s="453"/>
      <c r="Y287" s="453"/>
      <c r="Z287" s="453"/>
      <c r="AA287" s="453"/>
    </row>
    <row r="288" spans="1:27" s="583" customFormat="1" x14ac:dyDescent="0.25">
      <c r="A288" s="608"/>
      <c r="B288" s="608"/>
      <c r="C288" s="608"/>
      <c r="D288" s="608"/>
      <c r="E288" s="609"/>
      <c r="F288" s="609"/>
      <c r="G288" s="609"/>
      <c r="H288" s="609"/>
      <c r="I288" s="609"/>
      <c r="J288" s="609"/>
      <c r="K288" s="609"/>
      <c r="M288" s="453"/>
      <c r="N288" s="453"/>
      <c r="O288" s="453"/>
      <c r="P288" s="453"/>
      <c r="Q288" s="453"/>
      <c r="R288" s="453"/>
      <c r="S288" s="453"/>
      <c r="T288" s="453"/>
      <c r="U288" s="453"/>
      <c r="V288" s="453"/>
      <c r="W288" s="453"/>
      <c r="X288" s="453"/>
      <c r="Y288" s="453"/>
      <c r="Z288" s="453"/>
      <c r="AA288" s="453"/>
    </row>
    <row r="289" spans="1:27" s="583" customFormat="1" x14ac:dyDescent="0.25">
      <c r="A289" s="608"/>
      <c r="B289" s="608"/>
      <c r="C289" s="608"/>
      <c r="D289" s="608"/>
      <c r="E289" s="609"/>
      <c r="F289" s="609"/>
      <c r="G289" s="609"/>
      <c r="H289" s="609"/>
      <c r="I289" s="609"/>
      <c r="J289" s="609"/>
      <c r="K289" s="609"/>
      <c r="M289" s="453"/>
      <c r="N289" s="453"/>
      <c r="O289" s="453"/>
      <c r="P289" s="453"/>
      <c r="Q289" s="453"/>
      <c r="R289" s="453"/>
      <c r="S289" s="453"/>
      <c r="T289" s="453"/>
      <c r="U289" s="453"/>
      <c r="V289" s="453"/>
      <c r="W289" s="453"/>
      <c r="X289" s="453"/>
      <c r="Y289" s="453"/>
      <c r="Z289" s="453"/>
      <c r="AA289" s="453"/>
    </row>
    <row r="290" spans="1:27" s="583" customFormat="1" x14ac:dyDescent="0.25">
      <c r="A290" s="608"/>
      <c r="B290" s="608"/>
      <c r="C290" s="608"/>
      <c r="D290" s="608"/>
      <c r="E290" s="609"/>
      <c r="F290" s="609"/>
      <c r="G290" s="609"/>
      <c r="H290" s="609"/>
      <c r="I290" s="609"/>
      <c r="J290" s="609"/>
      <c r="K290" s="609"/>
      <c r="M290" s="453"/>
      <c r="N290" s="453"/>
      <c r="O290" s="453"/>
      <c r="P290" s="453"/>
      <c r="Q290" s="453"/>
      <c r="R290" s="453"/>
      <c r="S290" s="453"/>
      <c r="T290" s="453"/>
      <c r="U290" s="453"/>
      <c r="V290" s="453"/>
      <c r="W290" s="453"/>
      <c r="X290" s="453"/>
      <c r="Y290" s="453"/>
      <c r="Z290" s="453"/>
      <c r="AA290" s="453"/>
    </row>
    <row r="291" spans="1:27" s="583" customFormat="1" x14ac:dyDescent="0.25">
      <c r="A291" s="608"/>
      <c r="B291" s="608"/>
      <c r="C291" s="608"/>
      <c r="D291" s="608"/>
      <c r="E291" s="609"/>
      <c r="F291" s="609"/>
      <c r="G291" s="609"/>
      <c r="H291" s="609"/>
      <c r="I291" s="609"/>
      <c r="J291" s="609"/>
      <c r="K291" s="609"/>
      <c r="M291" s="453"/>
      <c r="N291" s="453"/>
      <c r="O291" s="453"/>
      <c r="P291" s="453"/>
      <c r="Q291" s="453"/>
      <c r="R291" s="453"/>
      <c r="S291" s="453"/>
      <c r="T291" s="453"/>
      <c r="U291" s="453"/>
      <c r="V291" s="453"/>
      <c r="W291" s="453"/>
      <c r="X291" s="453"/>
      <c r="Y291" s="453"/>
      <c r="Z291" s="453"/>
      <c r="AA291" s="453"/>
    </row>
    <row r="292" spans="1:27" s="583" customFormat="1" x14ac:dyDescent="0.25">
      <c r="A292" s="608"/>
      <c r="B292" s="608"/>
      <c r="C292" s="608"/>
      <c r="D292" s="608"/>
      <c r="E292" s="609"/>
      <c r="F292" s="609"/>
      <c r="G292" s="609"/>
      <c r="H292" s="609"/>
      <c r="I292" s="609"/>
      <c r="J292" s="609"/>
      <c r="K292" s="609"/>
      <c r="M292" s="453"/>
      <c r="N292" s="453"/>
      <c r="O292" s="453"/>
      <c r="P292" s="453"/>
      <c r="Q292" s="453"/>
      <c r="R292" s="453"/>
      <c r="S292" s="453"/>
      <c r="T292" s="453"/>
      <c r="U292" s="453"/>
      <c r="V292" s="453"/>
      <c r="W292" s="453"/>
      <c r="X292" s="453"/>
      <c r="Y292" s="453"/>
      <c r="Z292" s="453"/>
      <c r="AA292" s="453"/>
    </row>
    <row r="293" spans="1:27" s="583" customFormat="1" x14ac:dyDescent="0.25">
      <c r="A293" s="608"/>
      <c r="B293" s="608"/>
      <c r="C293" s="608"/>
      <c r="D293" s="608"/>
      <c r="E293" s="609"/>
      <c r="F293" s="609"/>
      <c r="G293" s="609"/>
      <c r="H293" s="609"/>
      <c r="I293" s="609"/>
      <c r="J293" s="609"/>
      <c r="K293" s="609"/>
      <c r="M293" s="453"/>
      <c r="N293" s="453"/>
      <c r="O293" s="453"/>
      <c r="P293" s="453"/>
      <c r="Q293" s="453"/>
      <c r="R293" s="453"/>
      <c r="S293" s="453"/>
      <c r="T293" s="453"/>
      <c r="U293" s="453"/>
      <c r="V293" s="453"/>
      <c r="W293" s="453"/>
      <c r="X293" s="453"/>
      <c r="Y293" s="453"/>
      <c r="Z293" s="453"/>
      <c r="AA293" s="453"/>
    </row>
    <row r="294" spans="1:27" s="583" customFormat="1" x14ac:dyDescent="0.25">
      <c r="A294" s="608"/>
      <c r="B294" s="608"/>
      <c r="C294" s="608"/>
      <c r="D294" s="608"/>
      <c r="E294" s="609"/>
      <c r="F294" s="609"/>
      <c r="G294" s="609"/>
      <c r="H294" s="609"/>
      <c r="I294" s="609"/>
      <c r="J294" s="609"/>
      <c r="K294" s="609"/>
      <c r="M294" s="453"/>
      <c r="N294" s="453"/>
      <c r="O294" s="453"/>
      <c r="P294" s="453"/>
      <c r="Q294" s="453"/>
      <c r="R294" s="453"/>
      <c r="S294" s="453"/>
      <c r="T294" s="453"/>
      <c r="U294" s="453"/>
      <c r="V294" s="453"/>
      <c r="W294" s="453"/>
      <c r="X294" s="453"/>
      <c r="Y294" s="453"/>
      <c r="Z294" s="453"/>
      <c r="AA294" s="453"/>
    </row>
    <row r="295" spans="1:27" s="583" customFormat="1" x14ac:dyDescent="0.25">
      <c r="A295" s="608"/>
      <c r="B295" s="608"/>
      <c r="C295" s="608"/>
      <c r="D295" s="608"/>
      <c r="E295" s="609"/>
      <c r="F295" s="609"/>
      <c r="G295" s="609"/>
      <c r="H295" s="609"/>
      <c r="I295" s="609"/>
      <c r="J295" s="609"/>
      <c r="K295" s="609"/>
      <c r="M295" s="453"/>
      <c r="N295" s="453"/>
      <c r="O295" s="453"/>
      <c r="P295" s="453"/>
      <c r="Q295" s="453"/>
      <c r="R295" s="453"/>
      <c r="S295" s="453"/>
      <c r="T295" s="453"/>
      <c r="U295" s="453"/>
      <c r="V295" s="453"/>
      <c r="W295" s="453"/>
      <c r="X295" s="453"/>
      <c r="Y295" s="453"/>
      <c r="Z295" s="453"/>
      <c r="AA295" s="453"/>
    </row>
    <row r="296" spans="1:27" s="583" customFormat="1" x14ac:dyDescent="0.25">
      <c r="A296" s="608"/>
      <c r="B296" s="608"/>
      <c r="C296" s="608"/>
      <c r="D296" s="608"/>
      <c r="E296" s="609"/>
      <c r="F296" s="609"/>
      <c r="G296" s="609"/>
      <c r="H296" s="609"/>
      <c r="I296" s="609"/>
      <c r="J296" s="609"/>
      <c r="K296" s="609"/>
      <c r="M296" s="453"/>
      <c r="N296" s="453"/>
      <c r="O296" s="453"/>
      <c r="P296" s="453"/>
      <c r="Q296" s="453"/>
      <c r="R296" s="453"/>
      <c r="S296" s="453"/>
      <c r="T296" s="453"/>
      <c r="U296" s="453"/>
      <c r="V296" s="453"/>
      <c r="W296" s="453"/>
      <c r="X296" s="453"/>
      <c r="Y296" s="453"/>
      <c r="Z296" s="453"/>
      <c r="AA296" s="453"/>
    </row>
    <row r="297" spans="1:27" s="583" customFormat="1" x14ac:dyDescent="0.25">
      <c r="A297" s="608"/>
      <c r="B297" s="608"/>
      <c r="C297" s="608"/>
      <c r="D297" s="608"/>
      <c r="E297" s="609"/>
      <c r="F297" s="609"/>
      <c r="G297" s="609"/>
      <c r="H297" s="609"/>
      <c r="I297" s="609"/>
      <c r="J297" s="609"/>
      <c r="K297" s="609"/>
      <c r="M297" s="453"/>
      <c r="N297" s="453"/>
      <c r="O297" s="453"/>
      <c r="P297" s="453"/>
      <c r="Q297" s="453"/>
      <c r="R297" s="453"/>
      <c r="S297" s="453"/>
      <c r="T297" s="453"/>
      <c r="U297" s="453"/>
      <c r="V297" s="453"/>
      <c r="W297" s="453"/>
      <c r="X297" s="453"/>
      <c r="Y297" s="453"/>
      <c r="Z297" s="453"/>
      <c r="AA297" s="453"/>
    </row>
    <row r="298" spans="1:27" s="583" customFormat="1" x14ac:dyDescent="0.25">
      <c r="A298" s="608"/>
      <c r="B298" s="608"/>
      <c r="C298" s="608"/>
      <c r="D298" s="608"/>
      <c r="E298" s="609"/>
      <c r="F298" s="609"/>
      <c r="G298" s="609"/>
      <c r="H298" s="609"/>
      <c r="I298" s="609"/>
      <c r="J298" s="609"/>
      <c r="K298" s="609"/>
      <c r="M298" s="453"/>
      <c r="N298" s="453"/>
      <c r="O298" s="453"/>
      <c r="P298" s="453"/>
      <c r="Q298" s="453"/>
      <c r="R298" s="453"/>
      <c r="S298" s="453"/>
      <c r="T298" s="453"/>
      <c r="U298" s="453"/>
      <c r="V298" s="453"/>
      <c r="W298" s="453"/>
      <c r="X298" s="453"/>
      <c r="Y298" s="453"/>
      <c r="Z298" s="453"/>
      <c r="AA298" s="453"/>
    </row>
    <row r="299" spans="1:27" s="583" customFormat="1" x14ac:dyDescent="0.25">
      <c r="A299" s="608"/>
      <c r="B299" s="608"/>
      <c r="C299" s="608"/>
      <c r="D299" s="608"/>
      <c r="E299" s="609"/>
      <c r="F299" s="609"/>
      <c r="G299" s="609"/>
      <c r="H299" s="609"/>
      <c r="I299" s="609"/>
      <c r="J299" s="609"/>
      <c r="K299" s="609"/>
      <c r="M299" s="453"/>
      <c r="N299" s="453"/>
      <c r="O299" s="453"/>
      <c r="P299" s="453"/>
      <c r="Q299" s="453"/>
      <c r="R299" s="453"/>
      <c r="S299" s="453"/>
      <c r="T299" s="453"/>
      <c r="U299" s="453"/>
      <c r="V299" s="453"/>
      <c r="W299" s="453"/>
      <c r="X299" s="453"/>
      <c r="Y299" s="453"/>
      <c r="Z299" s="453"/>
      <c r="AA299" s="453"/>
    </row>
    <row r="300" spans="1:27" s="583" customFormat="1" x14ac:dyDescent="0.25">
      <c r="A300" s="608"/>
      <c r="B300" s="608"/>
      <c r="C300" s="608"/>
      <c r="D300" s="608"/>
      <c r="E300" s="609"/>
      <c r="F300" s="609"/>
      <c r="G300" s="609"/>
      <c r="H300" s="609"/>
      <c r="I300" s="609"/>
      <c r="J300" s="609"/>
      <c r="K300" s="609"/>
      <c r="M300" s="453"/>
      <c r="N300" s="453"/>
      <c r="O300" s="453"/>
      <c r="P300" s="453"/>
      <c r="Q300" s="453"/>
      <c r="R300" s="453"/>
      <c r="S300" s="453"/>
      <c r="T300" s="453"/>
      <c r="U300" s="453"/>
      <c r="V300" s="453"/>
      <c r="W300" s="453"/>
      <c r="X300" s="453"/>
      <c r="Y300" s="453"/>
      <c r="Z300" s="453"/>
      <c r="AA300" s="453"/>
    </row>
    <row r="301" spans="1:27" s="583" customFormat="1" x14ac:dyDescent="0.25">
      <c r="A301" s="608"/>
      <c r="B301" s="608"/>
      <c r="C301" s="608"/>
      <c r="D301" s="608"/>
      <c r="E301" s="609"/>
      <c r="F301" s="609"/>
      <c r="G301" s="609"/>
      <c r="H301" s="609"/>
      <c r="I301" s="609"/>
      <c r="J301" s="609"/>
      <c r="K301" s="609"/>
      <c r="M301" s="453"/>
      <c r="N301" s="453"/>
      <c r="O301" s="453"/>
      <c r="P301" s="453"/>
      <c r="Q301" s="453"/>
      <c r="R301" s="453"/>
      <c r="S301" s="453"/>
      <c r="T301" s="453"/>
      <c r="U301" s="453"/>
      <c r="V301" s="453"/>
      <c r="W301" s="453"/>
      <c r="X301" s="453"/>
      <c r="Y301" s="453"/>
      <c r="Z301" s="453"/>
      <c r="AA301" s="453"/>
    </row>
    <row r="302" spans="1:27" s="583" customFormat="1" x14ac:dyDescent="0.25">
      <c r="A302" s="608"/>
      <c r="B302" s="608"/>
      <c r="C302" s="608"/>
      <c r="D302" s="608"/>
      <c r="E302" s="609"/>
      <c r="F302" s="609"/>
      <c r="G302" s="609"/>
      <c r="H302" s="609"/>
      <c r="I302" s="609"/>
      <c r="J302" s="609"/>
      <c r="K302" s="609"/>
      <c r="M302" s="453"/>
      <c r="N302" s="453"/>
      <c r="O302" s="453"/>
      <c r="P302" s="453"/>
      <c r="Q302" s="453"/>
      <c r="R302" s="453"/>
      <c r="S302" s="453"/>
      <c r="T302" s="453"/>
      <c r="U302" s="453"/>
      <c r="V302" s="453"/>
      <c r="W302" s="453"/>
      <c r="X302" s="453"/>
      <c r="Y302" s="453"/>
      <c r="Z302" s="453"/>
      <c r="AA302" s="453"/>
    </row>
    <row r="303" spans="1:27" s="583" customFormat="1" x14ac:dyDescent="0.25">
      <c r="A303" s="608"/>
      <c r="B303" s="608"/>
      <c r="C303" s="608"/>
      <c r="D303" s="608"/>
      <c r="E303" s="609"/>
      <c r="F303" s="609"/>
      <c r="G303" s="609"/>
      <c r="H303" s="609"/>
      <c r="I303" s="609"/>
      <c r="J303" s="609"/>
      <c r="K303" s="609"/>
      <c r="M303" s="453"/>
      <c r="N303" s="453"/>
      <c r="O303" s="453"/>
      <c r="P303" s="453"/>
      <c r="Q303" s="453"/>
      <c r="R303" s="453"/>
      <c r="S303" s="453"/>
      <c r="T303" s="453"/>
      <c r="U303" s="453"/>
      <c r="V303" s="453"/>
      <c r="W303" s="453"/>
      <c r="X303" s="453"/>
      <c r="Y303" s="453"/>
      <c r="Z303" s="453"/>
      <c r="AA303" s="453"/>
    </row>
    <row r="304" spans="1:27" s="583" customFormat="1" x14ac:dyDescent="0.25">
      <c r="A304" s="608"/>
      <c r="B304" s="608"/>
      <c r="C304" s="608"/>
      <c r="D304" s="608"/>
      <c r="E304" s="609"/>
      <c r="F304" s="609"/>
      <c r="G304" s="609"/>
      <c r="H304" s="609"/>
      <c r="I304" s="609"/>
      <c r="J304" s="609"/>
      <c r="K304" s="609"/>
      <c r="M304" s="453"/>
      <c r="N304" s="453"/>
      <c r="O304" s="453"/>
      <c r="P304" s="453"/>
      <c r="Q304" s="453"/>
      <c r="R304" s="453"/>
      <c r="S304" s="453"/>
      <c r="T304" s="453"/>
      <c r="U304" s="453"/>
      <c r="V304" s="453"/>
      <c r="W304" s="453"/>
      <c r="X304" s="453"/>
      <c r="Y304" s="453"/>
      <c r="Z304" s="453"/>
      <c r="AA304" s="453"/>
    </row>
    <row r="305" spans="1:27" s="583" customFormat="1" x14ac:dyDescent="0.25">
      <c r="A305" s="608"/>
      <c r="B305" s="608"/>
      <c r="C305" s="608"/>
      <c r="D305" s="608"/>
      <c r="E305" s="609"/>
      <c r="F305" s="609"/>
      <c r="G305" s="609"/>
      <c r="H305" s="609"/>
      <c r="I305" s="609"/>
      <c r="J305" s="609"/>
      <c r="K305" s="609"/>
      <c r="M305" s="453"/>
      <c r="N305" s="453"/>
      <c r="O305" s="453"/>
      <c r="P305" s="453"/>
      <c r="Q305" s="453"/>
      <c r="R305" s="453"/>
      <c r="S305" s="453"/>
      <c r="T305" s="453"/>
      <c r="U305" s="453"/>
      <c r="V305" s="453"/>
      <c r="W305" s="453"/>
      <c r="X305" s="453"/>
      <c r="Y305" s="453"/>
      <c r="Z305" s="453"/>
      <c r="AA305" s="453"/>
    </row>
    <row r="306" spans="1:27" s="583" customFormat="1" x14ac:dyDescent="0.25">
      <c r="A306" s="608"/>
      <c r="B306" s="608"/>
      <c r="C306" s="608"/>
      <c r="D306" s="608"/>
      <c r="E306" s="609"/>
      <c r="F306" s="609"/>
      <c r="G306" s="609"/>
      <c r="H306" s="609"/>
      <c r="I306" s="609"/>
      <c r="J306" s="609"/>
      <c r="K306" s="609"/>
      <c r="M306" s="453"/>
      <c r="N306" s="453"/>
      <c r="O306" s="453"/>
      <c r="P306" s="453"/>
      <c r="Q306" s="453"/>
      <c r="R306" s="453"/>
      <c r="S306" s="453"/>
      <c r="T306" s="453"/>
      <c r="U306" s="453"/>
      <c r="V306" s="453"/>
      <c r="W306" s="453"/>
      <c r="X306" s="453"/>
      <c r="Y306" s="453"/>
      <c r="Z306" s="453"/>
      <c r="AA306" s="453"/>
    </row>
    <row r="307" spans="1:27" s="583" customFormat="1" x14ac:dyDescent="0.25">
      <c r="A307" s="608"/>
      <c r="B307" s="608"/>
      <c r="C307" s="608"/>
      <c r="D307" s="608"/>
      <c r="E307" s="609"/>
      <c r="F307" s="609"/>
      <c r="G307" s="609"/>
      <c r="H307" s="609"/>
      <c r="I307" s="609"/>
      <c r="J307" s="609"/>
      <c r="K307" s="609"/>
      <c r="M307" s="453"/>
      <c r="N307" s="453"/>
      <c r="O307" s="453"/>
      <c r="P307" s="453"/>
      <c r="Q307" s="453"/>
      <c r="R307" s="453"/>
      <c r="S307" s="453"/>
      <c r="T307" s="453"/>
      <c r="U307" s="453"/>
      <c r="V307" s="453"/>
      <c r="W307" s="453"/>
      <c r="X307" s="453"/>
      <c r="Y307" s="453"/>
      <c r="Z307" s="453"/>
      <c r="AA307" s="453"/>
    </row>
    <row r="308" spans="1:27" s="583" customFormat="1" x14ac:dyDescent="0.25">
      <c r="A308" s="608"/>
      <c r="B308" s="608"/>
      <c r="C308" s="608"/>
      <c r="D308" s="608"/>
      <c r="E308" s="609"/>
      <c r="F308" s="609"/>
      <c r="G308" s="609"/>
      <c r="H308" s="609"/>
      <c r="I308" s="609"/>
      <c r="J308" s="609"/>
      <c r="K308" s="609"/>
      <c r="M308" s="453"/>
      <c r="N308" s="453"/>
      <c r="O308" s="453"/>
      <c r="P308" s="453"/>
      <c r="Q308" s="453"/>
      <c r="R308" s="453"/>
      <c r="S308" s="453"/>
      <c r="T308" s="453"/>
      <c r="U308" s="453"/>
      <c r="V308" s="453"/>
      <c r="W308" s="453"/>
      <c r="X308" s="453"/>
      <c r="Y308" s="453"/>
      <c r="Z308" s="453"/>
      <c r="AA308" s="453"/>
    </row>
    <row r="309" spans="1:27" s="583" customFormat="1" x14ac:dyDescent="0.25">
      <c r="A309" s="608"/>
      <c r="B309" s="608"/>
      <c r="C309" s="608"/>
      <c r="D309" s="608"/>
      <c r="E309" s="609"/>
      <c r="F309" s="609"/>
      <c r="G309" s="609"/>
      <c r="H309" s="609"/>
      <c r="I309" s="609"/>
      <c r="J309" s="609"/>
      <c r="K309" s="609"/>
      <c r="M309" s="453"/>
      <c r="N309" s="453"/>
      <c r="O309" s="453"/>
      <c r="P309" s="453"/>
      <c r="Q309" s="453"/>
      <c r="R309" s="453"/>
      <c r="S309" s="453"/>
      <c r="T309" s="453"/>
      <c r="U309" s="453"/>
      <c r="V309" s="453"/>
      <c r="W309" s="453"/>
      <c r="X309" s="453"/>
      <c r="Y309" s="453"/>
      <c r="Z309" s="453"/>
      <c r="AA309" s="453"/>
    </row>
    <row r="310" spans="1:27" s="583" customFormat="1" x14ac:dyDescent="0.25">
      <c r="A310" s="608"/>
      <c r="B310" s="608"/>
      <c r="C310" s="608"/>
      <c r="D310" s="608"/>
      <c r="E310" s="609"/>
      <c r="F310" s="609"/>
      <c r="G310" s="609"/>
      <c r="H310" s="609"/>
      <c r="I310" s="609"/>
      <c r="J310" s="609"/>
      <c r="K310" s="609"/>
      <c r="M310" s="453"/>
      <c r="N310" s="453"/>
      <c r="O310" s="453"/>
      <c r="P310" s="453"/>
      <c r="Q310" s="453"/>
      <c r="R310" s="453"/>
      <c r="S310" s="453"/>
      <c r="T310" s="453"/>
      <c r="U310" s="453"/>
      <c r="V310" s="453"/>
      <c r="W310" s="453"/>
      <c r="X310" s="453"/>
      <c r="Y310" s="453"/>
      <c r="Z310" s="453"/>
      <c r="AA310" s="453"/>
    </row>
    <row r="311" spans="1:27" s="583" customFormat="1" x14ac:dyDescent="0.25">
      <c r="A311" s="608"/>
      <c r="B311" s="608"/>
      <c r="C311" s="608"/>
      <c r="D311" s="608"/>
      <c r="E311" s="609"/>
      <c r="F311" s="609"/>
      <c r="G311" s="609"/>
      <c r="H311" s="609"/>
      <c r="I311" s="609"/>
      <c r="J311" s="609"/>
      <c r="K311" s="609"/>
      <c r="M311" s="453"/>
      <c r="N311" s="453"/>
      <c r="O311" s="453"/>
      <c r="P311" s="453"/>
      <c r="Q311" s="453"/>
      <c r="R311" s="453"/>
      <c r="S311" s="453"/>
      <c r="T311" s="453"/>
      <c r="U311" s="453"/>
      <c r="V311" s="453"/>
      <c r="W311" s="453"/>
      <c r="X311" s="453"/>
      <c r="Y311" s="453"/>
      <c r="Z311" s="453"/>
      <c r="AA311" s="453"/>
    </row>
    <row r="312" spans="1:27" s="583" customFormat="1" x14ac:dyDescent="0.25">
      <c r="A312" s="608"/>
      <c r="B312" s="608"/>
      <c r="C312" s="608"/>
      <c r="D312" s="608"/>
      <c r="E312" s="609"/>
      <c r="F312" s="609"/>
      <c r="G312" s="609"/>
      <c r="H312" s="609"/>
      <c r="I312" s="609"/>
      <c r="J312" s="609"/>
      <c r="K312" s="609"/>
      <c r="M312" s="453"/>
      <c r="N312" s="453"/>
      <c r="O312" s="453"/>
      <c r="P312" s="453"/>
      <c r="Q312" s="453"/>
      <c r="R312" s="453"/>
      <c r="S312" s="453"/>
      <c r="T312" s="453"/>
      <c r="U312" s="453"/>
      <c r="V312" s="453"/>
      <c r="W312" s="453"/>
      <c r="X312" s="453"/>
      <c r="Y312" s="453"/>
      <c r="Z312" s="453"/>
      <c r="AA312" s="453"/>
    </row>
    <row r="313" spans="1:27" s="583" customFormat="1" x14ac:dyDescent="0.25">
      <c r="A313" s="608"/>
      <c r="B313" s="608"/>
      <c r="C313" s="608"/>
      <c r="D313" s="608"/>
      <c r="E313" s="609"/>
      <c r="F313" s="609"/>
      <c r="G313" s="609"/>
      <c r="H313" s="609"/>
      <c r="I313" s="609"/>
      <c r="J313" s="609"/>
      <c r="K313" s="609"/>
      <c r="M313" s="453"/>
      <c r="N313" s="453"/>
      <c r="O313" s="453"/>
      <c r="P313" s="453"/>
      <c r="Q313" s="453"/>
      <c r="R313" s="453"/>
      <c r="S313" s="453"/>
      <c r="T313" s="453"/>
      <c r="U313" s="453"/>
      <c r="V313" s="453"/>
      <c r="W313" s="453"/>
      <c r="X313" s="453"/>
      <c r="Y313" s="453"/>
      <c r="Z313" s="453"/>
      <c r="AA313" s="453"/>
    </row>
    <row r="314" spans="1:27" s="583" customFormat="1" x14ac:dyDescent="0.25">
      <c r="A314" s="608"/>
      <c r="B314" s="608"/>
      <c r="C314" s="608"/>
      <c r="D314" s="608"/>
      <c r="E314" s="609"/>
      <c r="F314" s="609"/>
      <c r="G314" s="609"/>
      <c r="H314" s="609"/>
      <c r="I314" s="609"/>
      <c r="J314" s="609"/>
      <c r="K314" s="609"/>
      <c r="M314" s="453"/>
      <c r="N314" s="453"/>
      <c r="O314" s="453"/>
      <c r="P314" s="453"/>
      <c r="Q314" s="453"/>
      <c r="R314" s="453"/>
      <c r="S314" s="453"/>
      <c r="T314" s="453"/>
      <c r="U314" s="453"/>
      <c r="V314" s="453"/>
      <c r="W314" s="453"/>
      <c r="X314" s="453"/>
      <c r="Y314" s="453"/>
      <c r="Z314" s="453"/>
      <c r="AA314" s="453"/>
    </row>
    <row r="315" spans="1:27" s="583" customFormat="1" x14ac:dyDescent="0.25">
      <c r="A315" s="608"/>
      <c r="B315" s="608"/>
      <c r="C315" s="608"/>
      <c r="D315" s="608"/>
      <c r="E315" s="609"/>
      <c r="F315" s="609"/>
      <c r="G315" s="609"/>
      <c r="H315" s="609"/>
      <c r="I315" s="609"/>
      <c r="J315" s="609"/>
      <c r="K315" s="609"/>
      <c r="M315" s="453"/>
      <c r="N315" s="453"/>
      <c r="O315" s="453"/>
      <c r="P315" s="453"/>
      <c r="Q315" s="453"/>
      <c r="R315" s="453"/>
      <c r="S315" s="453"/>
      <c r="T315" s="453"/>
      <c r="U315" s="453"/>
      <c r="V315" s="453"/>
      <c r="W315" s="453"/>
      <c r="X315" s="453"/>
      <c r="Y315" s="453"/>
      <c r="Z315" s="453"/>
      <c r="AA315" s="453"/>
    </row>
    <row r="316" spans="1:27" s="583" customFormat="1" x14ac:dyDescent="0.25">
      <c r="A316" s="608"/>
      <c r="B316" s="608"/>
      <c r="C316" s="608"/>
      <c r="D316" s="608"/>
      <c r="E316" s="609"/>
      <c r="F316" s="609"/>
      <c r="G316" s="609"/>
      <c r="H316" s="609"/>
      <c r="I316" s="609"/>
      <c r="J316" s="609"/>
      <c r="K316" s="609"/>
      <c r="M316" s="453"/>
      <c r="N316" s="453"/>
      <c r="O316" s="453"/>
      <c r="P316" s="453"/>
      <c r="Q316" s="453"/>
      <c r="R316" s="453"/>
      <c r="S316" s="453"/>
      <c r="T316" s="453"/>
      <c r="U316" s="453"/>
      <c r="V316" s="453"/>
      <c r="W316" s="453"/>
      <c r="X316" s="453"/>
      <c r="Y316" s="453"/>
      <c r="Z316" s="453"/>
      <c r="AA316" s="453"/>
    </row>
    <row r="317" spans="1:27" s="583" customFormat="1" x14ac:dyDescent="0.25">
      <c r="A317" s="608"/>
      <c r="B317" s="608"/>
      <c r="C317" s="608"/>
      <c r="D317" s="608"/>
      <c r="E317" s="609"/>
      <c r="F317" s="609"/>
      <c r="G317" s="609"/>
      <c r="H317" s="609"/>
      <c r="I317" s="609"/>
      <c r="J317" s="609"/>
      <c r="K317" s="609"/>
      <c r="M317" s="453"/>
      <c r="N317" s="453"/>
      <c r="O317" s="453"/>
      <c r="P317" s="453"/>
      <c r="Q317" s="453"/>
      <c r="R317" s="453"/>
      <c r="S317" s="453"/>
      <c r="T317" s="453"/>
      <c r="U317" s="453"/>
      <c r="V317" s="453"/>
      <c r="W317" s="453"/>
      <c r="X317" s="453"/>
      <c r="Y317" s="453"/>
      <c r="Z317" s="453"/>
      <c r="AA317" s="453"/>
    </row>
    <row r="318" spans="1:27" s="583" customFormat="1" x14ac:dyDescent="0.25">
      <c r="A318" s="608"/>
      <c r="B318" s="608"/>
      <c r="C318" s="608"/>
      <c r="D318" s="608"/>
      <c r="E318" s="609"/>
      <c r="F318" s="609"/>
      <c r="G318" s="609"/>
      <c r="H318" s="609"/>
      <c r="I318" s="609"/>
      <c r="J318" s="609"/>
      <c r="K318" s="609"/>
      <c r="M318" s="453"/>
      <c r="N318" s="453"/>
      <c r="O318" s="453"/>
      <c r="P318" s="453"/>
      <c r="Q318" s="453"/>
      <c r="R318" s="453"/>
      <c r="S318" s="453"/>
      <c r="T318" s="453"/>
      <c r="U318" s="453"/>
      <c r="V318" s="453"/>
      <c r="W318" s="453"/>
      <c r="X318" s="453"/>
      <c r="Y318" s="453"/>
      <c r="Z318" s="453"/>
      <c r="AA318" s="453"/>
    </row>
    <row r="319" spans="1:27" s="583" customFormat="1" x14ac:dyDescent="0.25">
      <c r="A319" s="608"/>
      <c r="B319" s="608"/>
      <c r="C319" s="608"/>
      <c r="D319" s="608"/>
      <c r="E319" s="609"/>
      <c r="F319" s="609"/>
      <c r="G319" s="609"/>
      <c r="H319" s="609"/>
      <c r="I319" s="609"/>
      <c r="J319" s="609"/>
      <c r="K319" s="609"/>
      <c r="M319" s="453"/>
      <c r="N319" s="453"/>
      <c r="O319" s="453"/>
      <c r="P319" s="453"/>
      <c r="Q319" s="453"/>
      <c r="R319" s="453"/>
      <c r="S319" s="453"/>
      <c r="T319" s="453"/>
      <c r="U319" s="453"/>
      <c r="V319" s="453"/>
      <c r="W319" s="453"/>
      <c r="X319" s="453"/>
      <c r="Y319" s="453"/>
      <c r="Z319" s="453"/>
      <c r="AA319" s="453"/>
    </row>
    <row r="320" spans="1:27" s="583" customFormat="1" x14ac:dyDescent="0.25">
      <c r="A320" s="608"/>
      <c r="B320" s="608"/>
      <c r="C320" s="608"/>
      <c r="D320" s="608"/>
      <c r="E320" s="609"/>
      <c r="F320" s="609"/>
      <c r="G320" s="609"/>
      <c r="H320" s="609"/>
      <c r="I320" s="609"/>
      <c r="J320" s="609"/>
      <c r="K320" s="609"/>
      <c r="M320" s="453"/>
      <c r="N320" s="453"/>
      <c r="O320" s="453"/>
      <c r="P320" s="453"/>
      <c r="Q320" s="453"/>
      <c r="R320" s="453"/>
      <c r="S320" s="453"/>
      <c r="T320" s="453"/>
      <c r="U320" s="453"/>
      <c r="V320" s="453"/>
      <c r="W320" s="453"/>
      <c r="X320" s="453"/>
      <c r="Y320" s="453"/>
      <c r="Z320" s="453"/>
      <c r="AA320" s="453"/>
    </row>
    <row r="321" spans="1:27" s="583" customFormat="1" x14ac:dyDescent="0.25">
      <c r="A321" s="608"/>
      <c r="B321" s="608"/>
      <c r="C321" s="608"/>
      <c r="D321" s="608"/>
      <c r="E321" s="609"/>
      <c r="F321" s="609"/>
      <c r="G321" s="609"/>
      <c r="H321" s="609"/>
      <c r="I321" s="609"/>
      <c r="J321" s="609"/>
      <c r="K321" s="609"/>
      <c r="M321" s="453"/>
      <c r="N321" s="453"/>
      <c r="O321" s="453"/>
      <c r="P321" s="453"/>
      <c r="Q321" s="453"/>
      <c r="R321" s="453"/>
      <c r="S321" s="453"/>
      <c r="T321" s="453"/>
      <c r="U321" s="453"/>
      <c r="V321" s="453"/>
      <c r="W321" s="453"/>
      <c r="X321" s="453"/>
      <c r="Y321" s="453"/>
      <c r="Z321" s="453"/>
      <c r="AA321" s="453"/>
    </row>
    <row r="322" spans="1:27" s="583" customFormat="1" x14ac:dyDescent="0.25">
      <c r="A322" s="608"/>
      <c r="B322" s="608"/>
      <c r="C322" s="608"/>
      <c r="D322" s="608"/>
      <c r="E322" s="609"/>
      <c r="F322" s="609"/>
      <c r="G322" s="609"/>
      <c r="H322" s="609"/>
      <c r="I322" s="609"/>
      <c r="J322" s="609"/>
      <c r="K322" s="609"/>
      <c r="M322" s="453"/>
      <c r="N322" s="453"/>
      <c r="O322" s="453"/>
      <c r="P322" s="453"/>
      <c r="Q322" s="453"/>
      <c r="R322" s="453"/>
      <c r="S322" s="453"/>
      <c r="T322" s="453"/>
      <c r="U322" s="453"/>
      <c r="V322" s="453"/>
      <c r="W322" s="453"/>
      <c r="X322" s="453"/>
      <c r="Y322" s="453"/>
      <c r="Z322" s="453"/>
      <c r="AA322" s="453"/>
    </row>
    <row r="323" spans="1:27" s="583" customFormat="1" x14ac:dyDescent="0.25">
      <c r="A323" s="608"/>
      <c r="B323" s="608"/>
      <c r="C323" s="608"/>
      <c r="D323" s="608"/>
      <c r="E323" s="609"/>
      <c r="F323" s="609"/>
      <c r="G323" s="609"/>
      <c r="H323" s="609"/>
      <c r="I323" s="609"/>
      <c r="J323" s="609"/>
      <c r="K323" s="609"/>
      <c r="M323" s="453"/>
      <c r="N323" s="453"/>
      <c r="O323" s="453"/>
      <c r="P323" s="453"/>
      <c r="Q323" s="453"/>
      <c r="R323" s="453"/>
      <c r="S323" s="453"/>
      <c r="T323" s="453"/>
      <c r="U323" s="453"/>
      <c r="V323" s="453"/>
      <c r="W323" s="453"/>
      <c r="X323" s="453"/>
      <c r="Y323" s="453"/>
      <c r="Z323" s="453"/>
      <c r="AA323" s="453"/>
    </row>
    <row r="324" spans="1:27" s="583" customFormat="1" x14ac:dyDescent="0.25">
      <c r="A324" s="608"/>
      <c r="B324" s="608"/>
      <c r="C324" s="608"/>
      <c r="D324" s="608"/>
      <c r="E324" s="609"/>
      <c r="F324" s="609"/>
      <c r="G324" s="609"/>
      <c r="H324" s="609"/>
      <c r="I324" s="609"/>
      <c r="J324" s="609"/>
      <c r="K324" s="609"/>
      <c r="M324" s="453"/>
      <c r="N324" s="453"/>
      <c r="O324" s="453"/>
      <c r="P324" s="453"/>
      <c r="Q324" s="453"/>
      <c r="R324" s="453"/>
      <c r="S324" s="453"/>
      <c r="T324" s="453"/>
      <c r="U324" s="453"/>
      <c r="V324" s="453"/>
      <c r="W324" s="453"/>
      <c r="X324" s="453"/>
      <c r="Y324" s="453"/>
      <c r="Z324" s="453"/>
      <c r="AA324" s="453"/>
    </row>
    <row r="325" spans="1:27" s="583" customFormat="1" x14ac:dyDescent="0.25">
      <c r="A325" s="608"/>
      <c r="B325" s="608"/>
      <c r="C325" s="608"/>
      <c r="D325" s="608"/>
      <c r="E325" s="609"/>
      <c r="F325" s="609"/>
      <c r="G325" s="609"/>
      <c r="H325" s="609"/>
      <c r="I325" s="609"/>
      <c r="J325" s="609"/>
      <c r="K325" s="609"/>
      <c r="M325" s="453"/>
      <c r="N325" s="453"/>
      <c r="O325" s="453"/>
      <c r="P325" s="453"/>
      <c r="Q325" s="453"/>
      <c r="R325" s="453"/>
      <c r="S325" s="453"/>
      <c r="T325" s="453"/>
      <c r="U325" s="453"/>
      <c r="V325" s="453"/>
      <c r="W325" s="453"/>
      <c r="X325" s="453"/>
      <c r="Y325" s="453"/>
      <c r="Z325" s="453"/>
      <c r="AA325" s="453"/>
    </row>
    <row r="326" spans="1:27" s="583" customFormat="1" x14ac:dyDescent="0.25">
      <c r="A326" s="608"/>
      <c r="B326" s="608"/>
      <c r="C326" s="608"/>
      <c r="D326" s="608"/>
      <c r="E326" s="609"/>
      <c r="F326" s="609"/>
      <c r="G326" s="609"/>
      <c r="H326" s="609"/>
      <c r="I326" s="609"/>
      <c r="J326" s="609"/>
      <c r="K326" s="609"/>
      <c r="M326" s="453"/>
      <c r="N326" s="453"/>
      <c r="O326" s="453"/>
      <c r="P326" s="453"/>
      <c r="Q326" s="453"/>
      <c r="R326" s="453"/>
      <c r="S326" s="453"/>
      <c r="T326" s="453"/>
      <c r="U326" s="453"/>
      <c r="V326" s="453"/>
      <c r="W326" s="453"/>
      <c r="X326" s="453"/>
      <c r="Y326" s="453"/>
      <c r="Z326" s="453"/>
      <c r="AA326" s="453"/>
    </row>
    <row r="327" spans="1:27" s="583" customFormat="1" x14ac:dyDescent="0.25">
      <c r="A327" s="608"/>
      <c r="B327" s="608"/>
      <c r="C327" s="608"/>
      <c r="D327" s="608"/>
      <c r="E327" s="609"/>
      <c r="F327" s="609"/>
      <c r="G327" s="609"/>
      <c r="H327" s="609"/>
      <c r="I327" s="609"/>
      <c r="J327" s="609"/>
      <c r="K327" s="609"/>
      <c r="M327" s="453"/>
      <c r="N327" s="453"/>
      <c r="O327" s="453"/>
      <c r="P327" s="453"/>
      <c r="Q327" s="453"/>
      <c r="R327" s="453"/>
      <c r="S327" s="453"/>
      <c r="T327" s="453"/>
      <c r="U327" s="453"/>
      <c r="V327" s="453"/>
      <c r="W327" s="453"/>
      <c r="X327" s="453"/>
      <c r="Y327" s="453"/>
      <c r="Z327" s="453"/>
      <c r="AA327" s="453"/>
    </row>
    <row r="328" spans="1:27" s="583" customFormat="1" x14ac:dyDescent="0.25">
      <c r="A328" s="608"/>
      <c r="B328" s="608"/>
      <c r="C328" s="608"/>
      <c r="D328" s="608"/>
      <c r="E328" s="609"/>
      <c r="F328" s="609"/>
      <c r="G328" s="609"/>
      <c r="H328" s="609"/>
      <c r="I328" s="609"/>
      <c r="J328" s="609"/>
      <c r="K328" s="609"/>
      <c r="M328" s="453"/>
      <c r="N328" s="453"/>
      <c r="O328" s="453"/>
      <c r="P328" s="453"/>
      <c r="Q328" s="453"/>
      <c r="R328" s="453"/>
      <c r="S328" s="453"/>
      <c r="T328" s="453"/>
      <c r="U328" s="453"/>
      <c r="V328" s="453"/>
      <c r="W328" s="453"/>
      <c r="X328" s="453"/>
      <c r="Y328" s="453"/>
      <c r="Z328" s="453"/>
      <c r="AA328" s="453"/>
    </row>
    <row r="329" spans="1:27" s="583" customFormat="1" x14ac:dyDescent="0.25">
      <c r="A329" s="608"/>
      <c r="B329" s="608"/>
      <c r="C329" s="608"/>
      <c r="D329" s="608"/>
      <c r="E329" s="609"/>
      <c r="F329" s="609"/>
      <c r="G329" s="609"/>
      <c r="H329" s="609"/>
      <c r="I329" s="609"/>
      <c r="J329" s="609"/>
      <c r="K329" s="609"/>
      <c r="M329" s="453"/>
      <c r="N329" s="453"/>
      <c r="O329" s="453"/>
      <c r="P329" s="453"/>
      <c r="Q329" s="453"/>
      <c r="R329" s="453"/>
      <c r="S329" s="453"/>
      <c r="T329" s="453"/>
      <c r="U329" s="453"/>
      <c r="V329" s="453"/>
      <c r="W329" s="453"/>
      <c r="X329" s="453"/>
      <c r="Y329" s="453"/>
      <c r="Z329" s="453"/>
      <c r="AA329" s="453"/>
    </row>
    <row r="330" spans="1:27" s="583" customFormat="1" x14ac:dyDescent="0.25">
      <c r="A330" s="608"/>
      <c r="B330" s="608"/>
      <c r="C330" s="608"/>
      <c r="D330" s="608"/>
      <c r="E330" s="609"/>
      <c r="F330" s="609"/>
      <c r="G330" s="609"/>
      <c r="H330" s="609"/>
      <c r="I330" s="609"/>
      <c r="J330" s="609"/>
      <c r="K330" s="609"/>
      <c r="M330" s="453"/>
      <c r="N330" s="453"/>
      <c r="O330" s="453"/>
      <c r="P330" s="453"/>
      <c r="Q330" s="453"/>
      <c r="R330" s="453"/>
      <c r="S330" s="453"/>
      <c r="T330" s="453"/>
      <c r="U330" s="453"/>
      <c r="V330" s="453"/>
      <c r="W330" s="453"/>
      <c r="X330" s="453"/>
      <c r="Y330" s="453"/>
      <c r="Z330" s="453"/>
      <c r="AA330" s="453"/>
    </row>
    <row r="331" spans="1:27" s="583" customFormat="1" x14ac:dyDescent="0.25">
      <c r="A331" s="608"/>
      <c r="B331" s="608"/>
      <c r="C331" s="608"/>
      <c r="D331" s="608"/>
      <c r="E331" s="609"/>
      <c r="F331" s="609"/>
      <c r="G331" s="609"/>
      <c r="H331" s="609"/>
      <c r="I331" s="609"/>
      <c r="J331" s="609"/>
      <c r="K331" s="609"/>
      <c r="M331" s="453"/>
      <c r="N331" s="453"/>
      <c r="O331" s="453"/>
      <c r="P331" s="453"/>
      <c r="Q331" s="453"/>
      <c r="R331" s="453"/>
      <c r="S331" s="453"/>
      <c r="T331" s="453"/>
      <c r="U331" s="453"/>
      <c r="V331" s="453"/>
      <c r="W331" s="453"/>
      <c r="X331" s="453"/>
      <c r="Y331" s="453"/>
      <c r="Z331" s="453"/>
      <c r="AA331" s="453"/>
    </row>
    <row r="332" spans="1:27" s="583" customFormat="1" x14ac:dyDescent="0.25">
      <c r="A332" s="608"/>
      <c r="B332" s="608"/>
      <c r="C332" s="608"/>
      <c r="D332" s="608"/>
      <c r="E332" s="609"/>
      <c r="F332" s="609"/>
      <c r="G332" s="609"/>
      <c r="H332" s="609"/>
      <c r="I332" s="609"/>
      <c r="J332" s="609"/>
      <c r="K332" s="609"/>
      <c r="M332" s="453"/>
      <c r="N332" s="453"/>
      <c r="O332" s="453"/>
      <c r="P332" s="453"/>
      <c r="Q332" s="453"/>
      <c r="R332" s="453"/>
      <c r="S332" s="453"/>
      <c r="T332" s="453"/>
      <c r="U332" s="453"/>
      <c r="V332" s="453"/>
      <c r="W332" s="453"/>
      <c r="X332" s="453"/>
      <c r="Y332" s="453"/>
      <c r="Z332" s="453"/>
      <c r="AA332" s="453"/>
    </row>
    <row r="333" spans="1:27" s="583" customFormat="1" x14ac:dyDescent="0.25">
      <c r="A333" s="608"/>
      <c r="B333" s="608"/>
      <c r="C333" s="608"/>
      <c r="D333" s="608"/>
      <c r="E333" s="609"/>
      <c r="F333" s="609"/>
      <c r="G333" s="609"/>
      <c r="H333" s="609"/>
      <c r="I333" s="609"/>
      <c r="J333" s="609"/>
      <c r="K333" s="609"/>
      <c r="M333" s="453"/>
      <c r="N333" s="453"/>
      <c r="O333" s="453"/>
      <c r="P333" s="453"/>
      <c r="Q333" s="453"/>
      <c r="R333" s="453"/>
      <c r="S333" s="453"/>
      <c r="T333" s="453"/>
      <c r="U333" s="453"/>
      <c r="V333" s="453"/>
      <c r="W333" s="453"/>
      <c r="X333" s="453"/>
      <c r="Y333" s="453"/>
      <c r="Z333" s="453"/>
      <c r="AA333" s="453"/>
    </row>
    <row r="334" spans="1:27" s="583" customFormat="1" x14ac:dyDescent="0.25">
      <c r="A334" s="608"/>
      <c r="B334" s="608"/>
      <c r="C334" s="608"/>
      <c r="D334" s="608"/>
      <c r="E334" s="609"/>
      <c r="F334" s="609"/>
      <c r="G334" s="609"/>
      <c r="H334" s="609"/>
      <c r="I334" s="609"/>
      <c r="J334" s="609"/>
      <c r="K334" s="609"/>
      <c r="M334" s="453"/>
      <c r="N334" s="453"/>
      <c r="O334" s="453"/>
      <c r="P334" s="453"/>
      <c r="Q334" s="453"/>
      <c r="R334" s="453"/>
      <c r="S334" s="453"/>
      <c r="T334" s="453"/>
      <c r="U334" s="453"/>
      <c r="V334" s="453"/>
      <c r="W334" s="453"/>
      <c r="X334" s="453"/>
      <c r="Y334" s="453"/>
      <c r="Z334" s="453"/>
      <c r="AA334" s="453"/>
    </row>
    <row r="335" spans="1:27" s="583" customFormat="1" x14ac:dyDescent="0.25">
      <c r="A335" s="608"/>
      <c r="B335" s="608"/>
      <c r="C335" s="608"/>
      <c r="D335" s="608"/>
      <c r="E335" s="609"/>
      <c r="F335" s="609"/>
      <c r="G335" s="609"/>
      <c r="H335" s="609"/>
      <c r="I335" s="609"/>
      <c r="J335" s="609"/>
      <c r="K335" s="609"/>
      <c r="M335" s="453"/>
      <c r="N335" s="453"/>
      <c r="O335" s="453"/>
      <c r="P335" s="453"/>
      <c r="Q335" s="453"/>
      <c r="R335" s="453"/>
      <c r="S335" s="453"/>
      <c r="T335" s="453"/>
      <c r="U335" s="453"/>
      <c r="V335" s="453"/>
      <c r="W335" s="453"/>
      <c r="X335" s="453"/>
      <c r="Y335" s="453"/>
      <c r="Z335" s="453"/>
      <c r="AA335" s="453"/>
    </row>
    <row r="336" spans="1:27" s="583" customFormat="1" x14ac:dyDescent="0.25">
      <c r="A336" s="608"/>
      <c r="B336" s="608"/>
      <c r="C336" s="608"/>
      <c r="D336" s="608"/>
      <c r="E336" s="609"/>
      <c r="F336" s="609"/>
      <c r="G336" s="609"/>
      <c r="H336" s="609"/>
      <c r="I336" s="609"/>
      <c r="J336" s="609"/>
      <c r="K336" s="609"/>
      <c r="M336" s="453"/>
      <c r="N336" s="453"/>
      <c r="O336" s="453"/>
      <c r="P336" s="453"/>
      <c r="Q336" s="453"/>
      <c r="R336" s="453"/>
      <c r="S336" s="453"/>
      <c r="T336" s="453"/>
      <c r="U336" s="453"/>
      <c r="V336" s="453"/>
      <c r="W336" s="453"/>
      <c r="X336" s="453"/>
      <c r="Y336" s="453"/>
      <c r="Z336" s="453"/>
      <c r="AA336" s="453"/>
    </row>
    <row r="337" spans="1:27" s="583" customFormat="1" x14ac:dyDescent="0.25">
      <c r="A337" s="608"/>
      <c r="B337" s="608"/>
      <c r="C337" s="608"/>
      <c r="D337" s="608"/>
      <c r="E337" s="609"/>
      <c r="F337" s="609"/>
      <c r="G337" s="609"/>
      <c r="H337" s="609"/>
      <c r="I337" s="609"/>
      <c r="J337" s="609"/>
      <c r="K337" s="609"/>
      <c r="M337" s="453"/>
      <c r="N337" s="453"/>
      <c r="O337" s="453"/>
      <c r="P337" s="453"/>
      <c r="Q337" s="453"/>
      <c r="R337" s="453"/>
      <c r="S337" s="453"/>
      <c r="T337" s="453"/>
      <c r="U337" s="453"/>
      <c r="V337" s="453"/>
      <c r="W337" s="453"/>
      <c r="X337" s="453"/>
      <c r="Y337" s="453"/>
      <c r="Z337" s="453"/>
      <c r="AA337" s="453"/>
    </row>
    <row r="338" spans="1:27" s="583" customFormat="1" x14ac:dyDescent="0.25">
      <c r="A338" s="608"/>
      <c r="B338" s="608"/>
      <c r="C338" s="608"/>
      <c r="D338" s="608"/>
      <c r="E338" s="609"/>
      <c r="F338" s="609"/>
      <c r="G338" s="609"/>
      <c r="H338" s="609"/>
      <c r="I338" s="609"/>
      <c r="J338" s="609"/>
      <c r="K338" s="609"/>
      <c r="M338" s="453"/>
      <c r="N338" s="453"/>
      <c r="O338" s="453"/>
      <c r="P338" s="453"/>
      <c r="Q338" s="453"/>
      <c r="R338" s="453"/>
      <c r="S338" s="453"/>
      <c r="T338" s="453"/>
      <c r="U338" s="453"/>
      <c r="V338" s="453"/>
      <c r="W338" s="453"/>
      <c r="X338" s="453"/>
      <c r="Y338" s="453"/>
      <c r="Z338" s="453"/>
      <c r="AA338" s="453"/>
    </row>
    <row r="339" spans="1:27" s="583" customFormat="1" x14ac:dyDescent="0.25">
      <c r="A339" s="608"/>
      <c r="B339" s="608"/>
      <c r="C339" s="608"/>
      <c r="D339" s="608"/>
      <c r="E339" s="609"/>
      <c r="F339" s="609"/>
      <c r="G339" s="609"/>
      <c r="H339" s="609"/>
      <c r="I339" s="609"/>
      <c r="J339" s="609"/>
      <c r="K339" s="609"/>
      <c r="M339" s="453"/>
      <c r="N339" s="453"/>
      <c r="O339" s="453"/>
      <c r="P339" s="453"/>
      <c r="Q339" s="453"/>
      <c r="R339" s="453"/>
      <c r="S339" s="453"/>
      <c r="T339" s="453"/>
      <c r="U339" s="453"/>
      <c r="V339" s="453"/>
      <c r="W339" s="453"/>
      <c r="X339" s="453"/>
      <c r="Y339" s="453"/>
      <c r="Z339" s="453"/>
      <c r="AA339" s="453"/>
    </row>
    <row r="340" spans="1:27" s="583" customFormat="1" x14ac:dyDescent="0.25">
      <c r="A340" s="608"/>
      <c r="B340" s="608"/>
      <c r="C340" s="608"/>
      <c r="D340" s="608"/>
      <c r="E340" s="609"/>
      <c r="F340" s="609"/>
      <c r="G340" s="609"/>
      <c r="H340" s="609"/>
      <c r="I340" s="609"/>
      <c r="J340" s="609"/>
      <c r="K340" s="609"/>
      <c r="M340" s="453"/>
      <c r="N340" s="453"/>
      <c r="O340" s="453"/>
      <c r="P340" s="453"/>
      <c r="Q340" s="453"/>
      <c r="R340" s="453"/>
      <c r="S340" s="453"/>
      <c r="T340" s="453"/>
      <c r="U340" s="453"/>
      <c r="V340" s="453"/>
      <c r="W340" s="453"/>
      <c r="X340" s="453"/>
      <c r="Y340" s="453"/>
      <c r="Z340" s="453"/>
      <c r="AA340" s="453"/>
    </row>
    <row r="341" spans="1:27" s="583" customFormat="1" x14ac:dyDescent="0.25">
      <c r="A341" s="608"/>
      <c r="B341" s="608"/>
      <c r="C341" s="608"/>
      <c r="D341" s="608"/>
      <c r="E341" s="609"/>
      <c r="F341" s="609"/>
      <c r="G341" s="609"/>
      <c r="H341" s="609"/>
      <c r="I341" s="609"/>
      <c r="J341" s="609"/>
      <c r="K341" s="609"/>
      <c r="M341" s="453"/>
      <c r="N341" s="453"/>
      <c r="O341" s="453"/>
      <c r="P341" s="453"/>
      <c r="Q341" s="453"/>
      <c r="R341" s="453"/>
      <c r="S341" s="453"/>
      <c r="T341" s="453"/>
      <c r="U341" s="453"/>
      <c r="V341" s="453"/>
      <c r="W341" s="453"/>
      <c r="X341" s="453"/>
      <c r="Y341" s="453"/>
      <c r="Z341" s="453"/>
      <c r="AA341" s="453"/>
    </row>
    <row r="342" spans="1:27" s="583" customFormat="1" x14ac:dyDescent="0.25">
      <c r="A342" s="608"/>
      <c r="B342" s="608"/>
      <c r="C342" s="608"/>
      <c r="D342" s="608"/>
      <c r="E342" s="609"/>
      <c r="F342" s="609"/>
      <c r="G342" s="609"/>
      <c r="H342" s="609"/>
      <c r="I342" s="609"/>
      <c r="J342" s="609"/>
      <c r="K342" s="609"/>
      <c r="M342" s="453"/>
      <c r="N342" s="453"/>
      <c r="O342" s="453"/>
      <c r="P342" s="453"/>
      <c r="Q342" s="453"/>
      <c r="R342" s="453"/>
      <c r="S342" s="453"/>
      <c r="T342" s="453"/>
      <c r="U342" s="453"/>
      <c r="V342" s="453"/>
      <c r="W342" s="453"/>
      <c r="X342" s="453"/>
      <c r="Y342" s="453"/>
      <c r="Z342" s="453"/>
      <c r="AA342" s="453"/>
    </row>
    <row r="343" spans="1:27" s="583" customFormat="1" x14ac:dyDescent="0.25">
      <c r="A343" s="608"/>
      <c r="B343" s="608"/>
      <c r="C343" s="608"/>
      <c r="D343" s="608"/>
      <c r="E343" s="609"/>
      <c r="F343" s="609"/>
      <c r="G343" s="609"/>
      <c r="H343" s="609"/>
      <c r="I343" s="609"/>
      <c r="J343" s="609"/>
      <c r="K343" s="609"/>
      <c r="M343" s="453"/>
      <c r="N343" s="453"/>
      <c r="O343" s="453"/>
      <c r="P343" s="453"/>
      <c r="Q343" s="453"/>
      <c r="R343" s="453"/>
      <c r="S343" s="453"/>
      <c r="T343" s="453"/>
      <c r="U343" s="453"/>
      <c r="V343" s="453"/>
      <c r="W343" s="453"/>
      <c r="X343" s="453"/>
      <c r="Y343" s="453"/>
      <c r="Z343" s="453"/>
      <c r="AA343" s="453"/>
    </row>
    <row r="344" spans="1:27" s="583" customFormat="1" x14ac:dyDescent="0.25">
      <c r="A344" s="608"/>
      <c r="B344" s="608"/>
      <c r="C344" s="608"/>
      <c r="D344" s="608"/>
      <c r="E344" s="609"/>
      <c r="F344" s="609"/>
      <c r="G344" s="609"/>
      <c r="H344" s="609"/>
      <c r="I344" s="609"/>
      <c r="J344" s="609"/>
      <c r="K344" s="609"/>
      <c r="M344" s="453"/>
      <c r="N344" s="453"/>
      <c r="O344" s="453"/>
      <c r="P344" s="453"/>
      <c r="Q344" s="453"/>
      <c r="R344" s="453"/>
      <c r="S344" s="453"/>
      <c r="T344" s="453"/>
      <c r="U344" s="453"/>
      <c r="V344" s="453"/>
      <c r="W344" s="453"/>
      <c r="X344" s="453"/>
      <c r="Y344" s="453"/>
      <c r="Z344" s="453"/>
      <c r="AA344" s="453"/>
    </row>
    <row r="345" spans="1:27" s="583" customFormat="1" x14ac:dyDescent="0.25">
      <c r="A345" s="608"/>
      <c r="B345" s="608"/>
      <c r="C345" s="608"/>
      <c r="D345" s="608"/>
      <c r="E345" s="609"/>
      <c r="F345" s="609"/>
      <c r="G345" s="609"/>
      <c r="H345" s="609"/>
      <c r="I345" s="609"/>
      <c r="J345" s="609"/>
      <c r="K345" s="609"/>
      <c r="M345" s="453"/>
      <c r="N345" s="453"/>
      <c r="O345" s="453"/>
      <c r="P345" s="453"/>
      <c r="Q345" s="453"/>
      <c r="R345" s="453"/>
      <c r="S345" s="453"/>
      <c r="T345" s="453"/>
      <c r="U345" s="453"/>
      <c r="V345" s="453"/>
      <c r="W345" s="453"/>
      <c r="X345" s="453"/>
      <c r="Y345" s="453"/>
      <c r="Z345" s="453"/>
      <c r="AA345" s="453"/>
    </row>
    <row r="346" spans="1:27" s="583" customFormat="1" x14ac:dyDescent="0.25">
      <c r="A346" s="608"/>
      <c r="B346" s="608"/>
      <c r="C346" s="608"/>
      <c r="D346" s="608"/>
      <c r="E346" s="609"/>
      <c r="F346" s="609"/>
      <c r="G346" s="609"/>
      <c r="H346" s="609"/>
      <c r="I346" s="609"/>
      <c r="J346" s="609"/>
      <c r="K346" s="609"/>
      <c r="M346" s="453"/>
      <c r="N346" s="453"/>
      <c r="O346" s="453"/>
      <c r="P346" s="453"/>
      <c r="Q346" s="453"/>
      <c r="R346" s="453"/>
      <c r="S346" s="453"/>
      <c r="T346" s="453"/>
      <c r="U346" s="453"/>
      <c r="V346" s="453"/>
      <c r="W346" s="453"/>
      <c r="X346" s="453"/>
      <c r="Y346" s="453"/>
      <c r="Z346" s="453"/>
      <c r="AA346" s="453"/>
    </row>
    <row r="347" spans="1:27" s="583" customFormat="1" x14ac:dyDescent="0.25">
      <c r="A347" s="608"/>
      <c r="B347" s="608"/>
      <c r="C347" s="608"/>
      <c r="D347" s="608"/>
      <c r="E347" s="609"/>
      <c r="F347" s="609"/>
      <c r="G347" s="609"/>
      <c r="H347" s="609"/>
      <c r="I347" s="609"/>
      <c r="J347" s="609"/>
      <c r="K347" s="609"/>
      <c r="M347" s="453"/>
      <c r="N347" s="453"/>
      <c r="O347" s="453"/>
      <c r="P347" s="453"/>
      <c r="Q347" s="453"/>
      <c r="R347" s="453"/>
      <c r="S347" s="453"/>
      <c r="T347" s="453"/>
      <c r="U347" s="453"/>
      <c r="V347" s="453"/>
      <c r="W347" s="453"/>
      <c r="X347" s="453"/>
      <c r="Y347" s="453"/>
      <c r="Z347" s="453"/>
      <c r="AA347" s="453"/>
    </row>
    <row r="348" spans="1:27" s="583" customFormat="1" x14ac:dyDescent="0.25">
      <c r="A348" s="608"/>
      <c r="B348" s="608"/>
      <c r="C348" s="608"/>
      <c r="D348" s="608"/>
      <c r="E348" s="609"/>
      <c r="F348" s="609"/>
      <c r="G348" s="609"/>
      <c r="H348" s="609"/>
      <c r="I348" s="609"/>
      <c r="J348" s="609"/>
      <c r="K348" s="609"/>
      <c r="M348" s="453"/>
      <c r="N348" s="453"/>
      <c r="O348" s="453"/>
      <c r="P348" s="453"/>
      <c r="Q348" s="453"/>
      <c r="R348" s="453"/>
      <c r="S348" s="453"/>
      <c r="T348" s="453"/>
      <c r="U348" s="453"/>
      <c r="V348" s="453"/>
      <c r="W348" s="453"/>
      <c r="X348" s="453"/>
      <c r="Y348" s="453"/>
      <c r="Z348" s="453"/>
      <c r="AA348" s="453"/>
    </row>
    <row r="349" spans="1:27" s="583" customFormat="1" x14ac:dyDescent="0.25">
      <c r="A349" s="608"/>
      <c r="B349" s="608"/>
      <c r="C349" s="608"/>
      <c r="D349" s="608"/>
      <c r="E349" s="609"/>
      <c r="F349" s="609"/>
      <c r="G349" s="609"/>
      <c r="H349" s="609"/>
      <c r="I349" s="609"/>
      <c r="J349" s="609"/>
      <c r="K349" s="609"/>
      <c r="M349" s="453"/>
      <c r="N349" s="453"/>
      <c r="O349" s="453"/>
      <c r="P349" s="453"/>
      <c r="Q349" s="453"/>
      <c r="R349" s="453"/>
      <c r="S349" s="453"/>
      <c r="T349" s="453"/>
      <c r="U349" s="453"/>
      <c r="V349" s="453"/>
      <c r="W349" s="453"/>
      <c r="X349" s="453"/>
      <c r="Y349" s="453"/>
      <c r="Z349" s="453"/>
      <c r="AA349" s="453"/>
    </row>
    <row r="350" spans="1:27" s="583" customFormat="1" x14ac:dyDescent="0.25">
      <c r="A350" s="608"/>
      <c r="B350" s="608"/>
      <c r="C350" s="608"/>
      <c r="D350" s="608"/>
      <c r="E350" s="609"/>
      <c r="F350" s="609"/>
      <c r="G350" s="609"/>
      <c r="H350" s="609"/>
      <c r="I350" s="609"/>
      <c r="J350" s="609"/>
      <c r="K350" s="609"/>
      <c r="M350" s="453"/>
      <c r="N350" s="453"/>
      <c r="O350" s="453"/>
      <c r="P350" s="453"/>
      <c r="Q350" s="453"/>
      <c r="R350" s="453"/>
      <c r="S350" s="453"/>
      <c r="T350" s="453"/>
      <c r="U350" s="453"/>
      <c r="V350" s="453"/>
      <c r="W350" s="453"/>
      <c r="X350" s="453"/>
      <c r="Y350" s="453"/>
      <c r="Z350" s="453"/>
      <c r="AA350" s="453"/>
    </row>
    <row r="351" spans="1:27" s="583" customFormat="1" x14ac:dyDescent="0.25">
      <c r="A351" s="608"/>
      <c r="B351" s="608"/>
      <c r="C351" s="608"/>
      <c r="D351" s="608"/>
      <c r="E351" s="609"/>
      <c r="F351" s="609"/>
      <c r="G351" s="609"/>
      <c r="H351" s="609"/>
      <c r="I351" s="609"/>
      <c r="J351" s="609"/>
      <c r="K351" s="609"/>
      <c r="M351" s="453"/>
      <c r="N351" s="453"/>
      <c r="O351" s="453"/>
      <c r="P351" s="453"/>
      <c r="Q351" s="453"/>
      <c r="R351" s="453"/>
      <c r="S351" s="453"/>
      <c r="T351" s="453"/>
      <c r="U351" s="453"/>
      <c r="V351" s="453"/>
      <c r="W351" s="453"/>
      <c r="X351" s="453"/>
      <c r="Y351" s="453"/>
      <c r="Z351" s="453"/>
      <c r="AA351" s="453"/>
    </row>
    <row r="352" spans="1:27" s="583" customFormat="1" x14ac:dyDescent="0.25">
      <c r="A352" s="608"/>
      <c r="B352" s="608"/>
      <c r="C352" s="608"/>
      <c r="D352" s="608"/>
      <c r="E352" s="609"/>
      <c r="F352" s="609"/>
      <c r="G352" s="609"/>
      <c r="H352" s="609"/>
      <c r="I352" s="609"/>
      <c r="J352" s="609"/>
      <c r="K352" s="609"/>
      <c r="M352" s="453"/>
      <c r="N352" s="453"/>
      <c r="O352" s="453"/>
      <c r="P352" s="453"/>
      <c r="Q352" s="453"/>
      <c r="R352" s="453"/>
      <c r="S352" s="453"/>
      <c r="T352" s="453"/>
      <c r="U352" s="453"/>
      <c r="V352" s="453"/>
      <c r="W352" s="453"/>
      <c r="X352" s="453"/>
      <c r="Y352" s="453"/>
      <c r="Z352" s="453"/>
      <c r="AA352" s="453"/>
    </row>
    <row r="353" spans="1:27" s="583" customFormat="1" x14ac:dyDescent="0.25">
      <c r="A353" s="608"/>
      <c r="B353" s="608"/>
      <c r="C353" s="608"/>
      <c r="D353" s="608"/>
      <c r="E353" s="609"/>
      <c r="F353" s="609"/>
      <c r="G353" s="609"/>
      <c r="H353" s="609"/>
      <c r="I353" s="609"/>
      <c r="J353" s="609"/>
      <c r="K353" s="609"/>
      <c r="M353" s="453"/>
      <c r="N353" s="453"/>
      <c r="O353" s="453"/>
      <c r="P353" s="453"/>
      <c r="Q353" s="453"/>
      <c r="R353" s="453"/>
      <c r="S353" s="453"/>
      <c r="T353" s="453"/>
      <c r="U353" s="453"/>
      <c r="V353" s="453"/>
      <c r="W353" s="453"/>
      <c r="X353" s="453"/>
      <c r="Y353" s="453"/>
      <c r="Z353" s="453"/>
      <c r="AA353" s="453"/>
    </row>
    <row r="354" spans="1:27" s="583" customFormat="1" x14ac:dyDescent="0.25">
      <c r="A354" s="608"/>
      <c r="B354" s="608"/>
      <c r="C354" s="608"/>
      <c r="D354" s="608"/>
      <c r="E354" s="609"/>
      <c r="F354" s="609"/>
      <c r="G354" s="609"/>
      <c r="H354" s="609"/>
      <c r="I354" s="609"/>
      <c r="J354" s="609"/>
      <c r="K354" s="609"/>
      <c r="M354" s="453"/>
      <c r="N354" s="453"/>
      <c r="O354" s="453"/>
      <c r="P354" s="453"/>
      <c r="Q354" s="453"/>
      <c r="R354" s="453"/>
      <c r="S354" s="453"/>
      <c r="T354" s="453"/>
      <c r="U354" s="453"/>
      <c r="V354" s="453"/>
      <c r="W354" s="453"/>
      <c r="X354" s="453"/>
      <c r="Y354" s="453"/>
      <c r="Z354" s="453"/>
      <c r="AA354" s="453"/>
    </row>
    <row r="355" spans="1:27" s="583" customFormat="1" x14ac:dyDescent="0.25">
      <c r="A355" s="608"/>
      <c r="B355" s="608"/>
      <c r="C355" s="608"/>
      <c r="D355" s="608"/>
      <c r="E355" s="609"/>
      <c r="F355" s="609"/>
      <c r="G355" s="609"/>
      <c r="H355" s="609"/>
      <c r="I355" s="609"/>
      <c r="J355" s="609"/>
      <c r="K355" s="609"/>
      <c r="M355" s="453"/>
      <c r="N355" s="453"/>
      <c r="O355" s="453"/>
      <c r="P355" s="453"/>
      <c r="Q355" s="453"/>
      <c r="R355" s="453"/>
      <c r="S355" s="453"/>
      <c r="T355" s="453"/>
      <c r="U355" s="453"/>
      <c r="V355" s="453"/>
      <c r="W355" s="453"/>
      <c r="X355" s="453"/>
      <c r="Y355" s="453"/>
      <c r="Z355" s="453"/>
      <c r="AA355" s="453"/>
    </row>
    <row r="356" spans="1:27" s="583" customFormat="1" x14ac:dyDescent="0.25">
      <c r="A356" s="608"/>
      <c r="B356" s="608"/>
      <c r="C356" s="608"/>
      <c r="D356" s="608"/>
      <c r="E356" s="609"/>
      <c r="F356" s="609"/>
      <c r="G356" s="609"/>
      <c r="H356" s="609"/>
      <c r="I356" s="609"/>
      <c r="J356" s="609"/>
      <c r="K356" s="609"/>
      <c r="M356" s="453"/>
      <c r="N356" s="453"/>
      <c r="O356" s="453"/>
      <c r="P356" s="453"/>
      <c r="Q356" s="453"/>
      <c r="R356" s="453"/>
      <c r="S356" s="453"/>
      <c r="T356" s="453"/>
      <c r="U356" s="453"/>
      <c r="V356" s="453"/>
      <c r="W356" s="453"/>
      <c r="X356" s="453"/>
      <c r="Y356" s="453"/>
      <c r="Z356" s="453"/>
      <c r="AA356" s="453"/>
    </row>
    <row r="357" spans="1:27" s="583" customFormat="1" x14ac:dyDescent="0.25">
      <c r="A357" s="608"/>
      <c r="B357" s="608"/>
      <c r="C357" s="608"/>
      <c r="D357" s="608"/>
      <c r="E357" s="609"/>
      <c r="F357" s="609"/>
      <c r="G357" s="609"/>
      <c r="H357" s="609"/>
      <c r="I357" s="609"/>
      <c r="J357" s="609"/>
      <c r="K357" s="609"/>
      <c r="M357" s="453"/>
      <c r="N357" s="453"/>
      <c r="O357" s="453"/>
      <c r="P357" s="453"/>
      <c r="Q357" s="453"/>
      <c r="R357" s="453"/>
      <c r="S357" s="453"/>
      <c r="T357" s="453"/>
      <c r="U357" s="453"/>
      <c r="V357" s="453"/>
      <c r="W357" s="453"/>
      <c r="X357" s="453"/>
      <c r="Y357" s="453"/>
      <c r="Z357" s="453"/>
      <c r="AA357" s="453"/>
    </row>
    <row r="358" spans="1:27" s="583" customFormat="1" x14ac:dyDescent="0.25">
      <c r="A358" s="608"/>
      <c r="B358" s="608"/>
      <c r="C358" s="608"/>
      <c r="D358" s="608"/>
      <c r="E358" s="609"/>
      <c r="F358" s="609"/>
      <c r="G358" s="609"/>
      <c r="H358" s="609"/>
      <c r="I358" s="609"/>
      <c r="J358" s="609"/>
      <c r="K358" s="609"/>
      <c r="M358" s="453"/>
      <c r="N358" s="453"/>
      <c r="O358" s="453"/>
      <c r="P358" s="453"/>
      <c r="Q358" s="453"/>
      <c r="R358" s="453"/>
      <c r="S358" s="453"/>
      <c r="T358" s="453"/>
      <c r="U358" s="453"/>
      <c r="V358" s="453"/>
      <c r="W358" s="453"/>
      <c r="X358" s="453"/>
      <c r="Y358" s="453"/>
      <c r="Z358" s="453"/>
      <c r="AA358" s="453"/>
    </row>
    <row r="359" spans="1:27" s="583" customFormat="1" x14ac:dyDescent="0.25">
      <c r="A359" s="608"/>
      <c r="B359" s="608"/>
      <c r="C359" s="608"/>
      <c r="D359" s="608"/>
      <c r="E359" s="609"/>
      <c r="F359" s="609"/>
      <c r="G359" s="609"/>
      <c r="H359" s="609"/>
      <c r="I359" s="609"/>
      <c r="J359" s="609"/>
      <c r="K359" s="609"/>
      <c r="M359" s="453"/>
      <c r="N359" s="453"/>
      <c r="O359" s="453"/>
      <c r="P359" s="453"/>
      <c r="Q359" s="453"/>
      <c r="R359" s="453"/>
      <c r="S359" s="453"/>
      <c r="T359" s="453"/>
      <c r="U359" s="453"/>
      <c r="V359" s="453"/>
      <c r="W359" s="453"/>
      <c r="X359" s="453"/>
      <c r="Y359" s="453"/>
      <c r="Z359" s="453"/>
      <c r="AA359" s="453"/>
    </row>
    <row r="360" spans="1:27" s="583" customFormat="1" x14ac:dyDescent="0.25">
      <c r="A360" s="608"/>
      <c r="B360" s="608"/>
      <c r="C360" s="608"/>
      <c r="D360" s="608"/>
      <c r="E360" s="609"/>
      <c r="F360" s="609"/>
      <c r="G360" s="609"/>
      <c r="H360" s="609"/>
      <c r="I360" s="609"/>
      <c r="J360" s="609"/>
      <c r="K360" s="609"/>
      <c r="M360" s="453"/>
      <c r="N360" s="453"/>
      <c r="O360" s="453"/>
      <c r="P360" s="453"/>
      <c r="Q360" s="453"/>
      <c r="R360" s="453"/>
      <c r="S360" s="453"/>
      <c r="T360" s="453"/>
      <c r="U360" s="453"/>
      <c r="V360" s="453"/>
      <c r="W360" s="453"/>
      <c r="X360" s="453"/>
      <c r="Y360" s="453"/>
      <c r="Z360" s="453"/>
      <c r="AA360" s="453"/>
    </row>
    <row r="361" spans="1:27" s="583" customFormat="1" x14ac:dyDescent="0.25">
      <c r="A361" s="608"/>
      <c r="B361" s="608"/>
      <c r="C361" s="608"/>
      <c r="D361" s="608"/>
      <c r="E361" s="609"/>
      <c r="F361" s="609"/>
      <c r="G361" s="609"/>
      <c r="H361" s="609"/>
      <c r="I361" s="609"/>
      <c r="J361" s="609"/>
      <c r="K361" s="609"/>
      <c r="M361" s="453"/>
      <c r="N361" s="453"/>
      <c r="O361" s="453"/>
      <c r="P361" s="453"/>
      <c r="Q361" s="453"/>
      <c r="R361" s="453"/>
      <c r="S361" s="453"/>
      <c r="T361" s="453"/>
      <c r="U361" s="453"/>
      <c r="V361" s="453"/>
      <c r="W361" s="453"/>
      <c r="X361" s="453"/>
      <c r="Y361" s="453"/>
      <c r="Z361" s="453"/>
      <c r="AA361" s="453"/>
    </row>
    <row r="362" spans="1:27" s="583" customFormat="1" x14ac:dyDescent="0.25">
      <c r="A362" s="608"/>
      <c r="B362" s="608"/>
      <c r="C362" s="608"/>
      <c r="D362" s="608"/>
      <c r="E362" s="609"/>
      <c r="F362" s="609"/>
      <c r="G362" s="609"/>
      <c r="H362" s="609"/>
      <c r="I362" s="609"/>
      <c r="J362" s="609"/>
      <c r="K362" s="609"/>
      <c r="M362" s="453"/>
      <c r="N362" s="453"/>
      <c r="O362" s="453"/>
      <c r="P362" s="453"/>
      <c r="Q362" s="453"/>
      <c r="R362" s="453"/>
      <c r="S362" s="453"/>
      <c r="T362" s="453"/>
      <c r="U362" s="453"/>
      <c r="V362" s="453"/>
      <c r="W362" s="453"/>
      <c r="X362" s="453"/>
      <c r="Y362" s="453"/>
      <c r="Z362" s="453"/>
      <c r="AA362" s="453"/>
    </row>
    <row r="363" spans="1:27" s="583" customFormat="1" x14ac:dyDescent="0.25">
      <c r="A363" s="608"/>
      <c r="B363" s="608"/>
      <c r="C363" s="608"/>
      <c r="D363" s="608"/>
      <c r="E363" s="609"/>
      <c r="F363" s="609"/>
      <c r="G363" s="609"/>
      <c r="H363" s="609"/>
      <c r="I363" s="609"/>
      <c r="J363" s="609"/>
      <c r="K363" s="609"/>
      <c r="M363" s="453"/>
      <c r="N363" s="453"/>
      <c r="O363" s="453"/>
      <c r="P363" s="453"/>
      <c r="Q363" s="453"/>
      <c r="R363" s="453"/>
      <c r="S363" s="453"/>
      <c r="T363" s="453"/>
      <c r="U363" s="453"/>
      <c r="V363" s="453"/>
      <c r="W363" s="453"/>
      <c r="X363" s="453"/>
      <c r="Y363" s="453"/>
      <c r="Z363" s="453"/>
      <c r="AA363" s="453"/>
    </row>
    <row r="364" spans="1:27" s="583" customFormat="1" x14ac:dyDescent="0.25">
      <c r="A364" s="608"/>
      <c r="B364" s="608"/>
      <c r="C364" s="608"/>
      <c r="D364" s="608"/>
      <c r="E364" s="609"/>
      <c r="F364" s="609"/>
      <c r="G364" s="609"/>
      <c r="H364" s="609"/>
      <c r="I364" s="609"/>
      <c r="J364" s="609"/>
      <c r="K364" s="609"/>
      <c r="M364" s="453"/>
      <c r="N364" s="453"/>
      <c r="O364" s="453"/>
      <c r="P364" s="453"/>
      <c r="Q364" s="453"/>
      <c r="R364" s="453"/>
      <c r="S364" s="453"/>
      <c r="T364" s="453"/>
      <c r="U364" s="453"/>
      <c r="V364" s="453"/>
      <c r="W364" s="453"/>
      <c r="X364" s="453"/>
      <c r="Y364" s="453"/>
      <c r="Z364" s="453"/>
      <c r="AA364" s="453"/>
    </row>
    <row r="365" spans="1:27" s="583" customFormat="1" x14ac:dyDescent="0.25">
      <c r="A365" s="608"/>
      <c r="B365" s="608"/>
      <c r="C365" s="608"/>
      <c r="D365" s="608"/>
      <c r="E365" s="609"/>
      <c r="F365" s="609"/>
      <c r="G365" s="609"/>
      <c r="H365" s="609"/>
      <c r="I365" s="609"/>
      <c r="J365" s="609"/>
      <c r="K365" s="609"/>
      <c r="M365" s="453"/>
      <c r="N365" s="453"/>
      <c r="O365" s="453"/>
      <c r="P365" s="453"/>
      <c r="Q365" s="453"/>
      <c r="R365" s="453"/>
      <c r="S365" s="453"/>
      <c r="T365" s="453"/>
      <c r="U365" s="453"/>
      <c r="V365" s="453"/>
      <c r="W365" s="453"/>
      <c r="X365" s="453"/>
      <c r="Y365" s="453"/>
      <c r="Z365" s="453"/>
      <c r="AA365" s="453"/>
    </row>
    <row r="366" spans="1:27" s="583" customFormat="1" x14ac:dyDescent="0.25">
      <c r="A366" s="608"/>
      <c r="B366" s="608"/>
      <c r="C366" s="608"/>
      <c r="D366" s="608"/>
      <c r="E366" s="609"/>
      <c r="F366" s="609"/>
      <c r="G366" s="609"/>
      <c r="H366" s="609"/>
      <c r="I366" s="609"/>
      <c r="J366" s="609"/>
      <c r="K366" s="609"/>
      <c r="M366" s="453"/>
      <c r="N366" s="453"/>
      <c r="O366" s="453"/>
      <c r="P366" s="453"/>
      <c r="Q366" s="453"/>
      <c r="R366" s="453"/>
      <c r="S366" s="453"/>
      <c r="T366" s="453"/>
      <c r="U366" s="453"/>
      <c r="V366" s="453"/>
      <c r="W366" s="453"/>
      <c r="X366" s="453"/>
      <c r="Y366" s="453"/>
      <c r="Z366" s="453"/>
      <c r="AA366" s="453"/>
    </row>
    <row r="367" spans="1:27" s="583" customFormat="1" x14ac:dyDescent="0.25">
      <c r="A367" s="608"/>
      <c r="B367" s="608"/>
      <c r="C367" s="608"/>
      <c r="D367" s="608"/>
      <c r="E367" s="609"/>
      <c r="F367" s="609"/>
      <c r="G367" s="609"/>
      <c r="H367" s="609"/>
      <c r="I367" s="609"/>
      <c r="J367" s="609"/>
      <c r="K367" s="609"/>
      <c r="M367" s="453"/>
      <c r="N367" s="453"/>
      <c r="O367" s="453"/>
      <c r="P367" s="453"/>
      <c r="Q367" s="453"/>
      <c r="R367" s="453"/>
      <c r="S367" s="453"/>
      <c r="T367" s="453"/>
      <c r="U367" s="453"/>
      <c r="V367" s="453"/>
      <c r="W367" s="453"/>
      <c r="X367" s="453"/>
      <c r="Y367" s="453"/>
      <c r="Z367" s="453"/>
      <c r="AA367" s="453"/>
    </row>
    <row r="368" spans="1:27" s="583" customFormat="1" x14ac:dyDescent="0.25">
      <c r="A368" s="608"/>
      <c r="B368" s="608"/>
      <c r="C368" s="608"/>
      <c r="D368" s="608"/>
      <c r="E368" s="609"/>
      <c r="F368" s="609"/>
      <c r="G368" s="609"/>
      <c r="H368" s="609"/>
      <c r="I368" s="609"/>
      <c r="J368" s="609"/>
      <c r="K368" s="609"/>
      <c r="M368" s="453"/>
      <c r="N368" s="453"/>
      <c r="O368" s="453"/>
      <c r="P368" s="453"/>
      <c r="Q368" s="453"/>
      <c r="R368" s="453"/>
      <c r="S368" s="453"/>
      <c r="T368" s="453"/>
      <c r="U368" s="453"/>
      <c r="V368" s="453"/>
      <c r="W368" s="453"/>
      <c r="X368" s="453"/>
      <c r="Y368" s="453"/>
      <c r="Z368" s="453"/>
      <c r="AA368" s="453"/>
    </row>
    <row r="369" spans="1:27" s="583" customFormat="1" x14ac:dyDescent="0.25">
      <c r="A369" s="608"/>
      <c r="B369" s="608"/>
      <c r="C369" s="608"/>
      <c r="D369" s="608"/>
      <c r="E369" s="609"/>
      <c r="F369" s="609"/>
      <c r="G369" s="609"/>
      <c r="H369" s="609"/>
      <c r="I369" s="609"/>
      <c r="J369" s="609"/>
      <c r="K369" s="609"/>
      <c r="M369" s="453"/>
      <c r="N369" s="453"/>
      <c r="O369" s="453"/>
      <c r="P369" s="453"/>
      <c r="Q369" s="453"/>
      <c r="R369" s="453"/>
      <c r="S369" s="453"/>
      <c r="T369" s="453"/>
      <c r="U369" s="453"/>
      <c r="V369" s="453"/>
      <c r="W369" s="453"/>
      <c r="X369" s="453"/>
      <c r="Y369" s="453"/>
      <c r="Z369" s="453"/>
      <c r="AA369" s="453"/>
    </row>
    <row r="370" spans="1:27" s="583" customFormat="1" x14ac:dyDescent="0.25">
      <c r="A370" s="608"/>
      <c r="B370" s="608"/>
      <c r="C370" s="608"/>
      <c r="D370" s="608"/>
      <c r="E370" s="609"/>
      <c r="F370" s="609"/>
      <c r="G370" s="609"/>
      <c r="H370" s="609"/>
      <c r="I370" s="609"/>
      <c r="J370" s="609"/>
      <c r="K370" s="609"/>
      <c r="M370" s="453"/>
      <c r="N370" s="453"/>
      <c r="O370" s="453"/>
      <c r="P370" s="453"/>
      <c r="Q370" s="453"/>
      <c r="R370" s="453"/>
      <c r="S370" s="453"/>
      <c r="T370" s="453"/>
      <c r="U370" s="453"/>
      <c r="V370" s="453"/>
      <c r="W370" s="453"/>
      <c r="X370" s="453"/>
      <c r="Y370" s="453"/>
      <c r="Z370" s="453"/>
      <c r="AA370" s="453"/>
    </row>
    <row r="371" spans="1:27" s="583" customFormat="1" x14ac:dyDescent="0.25">
      <c r="A371" s="608"/>
      <c r="B371" s="608"/>
      <c r="C371" s="608"/>
      <c r="D371" s="608"/>
      <c r="E371" s="609"/>
      <c r="F371" s="609"/>
      <c r="G371" s="609"/>
      <c r="H371" s="609"/>
      <c r="I371" s="609"/>
      <c r="J371" s="609"/>
      <c r="K371" s="609"/>
      <c r="M371" s="453"/>
      <c r="N371" s="453"/>
      <c r="O371" s="453"/>
      <c r="P371" s="453"/>
      <c r="Q371" s="453"/>
      <c r="R371" s="453"/>
      <c r="S371" s="453"/>
      <c r="T371" s="453"/>
      <c r="U371" s="453"/>
      <c r="V371" s="453"/>
      <c r="W371" s="453"/>
      <c r="X371" s="453"/>
      <c r="Y371" s="453"/>
      <c r="Z371" s="453"/>
      <c r="AA371" s="453"/>
    </row>
    <row r="372" spans="1:27" s="583" customFormat="1" x14ac:dyDescent="0.25">
      <c r="A372" s="608"/>
      <c r="B372" s="608"/>
      <c r="C372" s="608"/>
      <c r="D372" s="608"/>
      <c r="E372" s="609"/>
      <c r="F372" s="609"/>
      <c r="G372" s="609"/>
      <c r="H372" s="609"/>
      <c r="I372" s="609"/>
      <c r="J372" s="609"/>
      <c r="K372" s="609"/>
      <c r="M372" s="453"/>
      <c r="N372" s="453"/>
      <c r="O372" s="453"/>
      <c r="P372" s="453"/>
      <c r="Q372" s="453"/>
      <c r="R372" s="453"/>
      <c r="S372" s="453"/>
      <c r="T372" s="453"/>
      <c r="U372" s="453"/>
      <c r="V372" s="453"/>
      <c r="W372" s="453"/>
      <c r="X372" s="453"/>
      <c r="Y372" s="453"/>
      <c r="Z372" s="453"/>
      <c r="AA372" s="453"/>
    </row>
    <row r="373" spans="1:27" s="583" customFormat="1" x14ac:dyDescent="0.25">
      <c r="A373" s="608"/>
      <c r="B373" s="608"/>
      <c r="C373" s="608"/>
      <c r="D373" s="608"/>
      <c r="E373" s="609"/>
      <c r="F373" s="609"/>
      <c r="G373" s="609"/>
      <c r="H373" s="609"/>
      <c r="I373" s="609"/>
      <c r="J373" s="609"/>
      <c r="K373" s="609"/>
      <c r="M373" s="453"/>
      <c r="N373" s="453"/>
      <c r="O373" s="453"/>
      <c r="P373" s="453"/>
      <c r="Q373" s="453"/>
      <c r="R373" s="453"/>
      <c r="S373" s="453"/>
      <c r="T373" s="453"/>
      <c r="U373" s="453"/>
      <c r="V373" s="453"/>
      <c r="W373" s="453"/>
      <c r="X373" s="453"/>
      <c r="Y373" s="453"/>
      <c r="Z373" s="453"/>
      <c r="AA373" s="453"/>
    </row>
    <row r="374" spans="1:27" s="583" customFormat="1" x14ac:dyDescent="0.25">
      <c r="A374" s="608"/>
      <c r="B374" s="608"/>
      <c r="C374" s="608"/>
      <c r="D374" s="608"/>
      <c r="E374" s="609"/>
      <c r="F374" s="609"/>
      <c r="G374" s="609"/>
      <c r="H374" s="609"/>
      <c r="I374" s="609"/>
      <c r="J374" s="609"/>
      <c r="K374" s="609"/>
      <c r="M374" s="453"/>
      <c r="N374" s="453"/>
      <c r="O374" s="453"/>
      <c r="P374" s="453"/>
      <c r="Q374" s="453"/>
      <c r="R374" s="453"/>
      <c r="S374" s="453"/>
      <c r="T374" s="453"/>
      <c r="U374" s="453"/>
      <c r="V374" s="453"/>
      <c r="W374" s="453"/>
      <c r="X374" s="453"/>
      <c r="Y374" s="453"/>
      <c r="Z374" s="453"/>
      <c r="AA374" s="453"/>
    </row>
    <row r="375" spans="1:27" s="583" customFormat="1" x14ac:dyDescent="0.25">
      <c r="A375" s="608"/>
      <c r="B375" s="608"/>
      <c r="C375" s="608"/>
      <c r="D375" s="608"/>
      <c r="E375" s="609"/>
      <c r="F375" s="609"/>
      <c r="G375" s="609"/>
      <c r="H375" s="609"/>
      <c r="I375" s="609"/>
      <c r="J375" s="609"/>
      <c r="K375" s="609"/>
      <c r="M375" s="453"/>
      <c r="N375" s="453"/>
      <c r="O375" s="453"/>
      <c r="P375" s="453"/>
      <c r="Q375" s="453"/>
      <c r="R375" s="453"/>
      <c r="S375" s="453"/>
      <c r="T375" s="453"/>
      <c r="U375" s="453"/>
      <c r="V375" s="453"/>
      <c r="W375" s="453"/>
      <c r="X375" s="453"/>
      <c r="Y375" s="453"/>
      <c r="Z375" s="453"/>
      <c r="AA375" s="453"/>
    </row>
    <row r="376" spans="1:27" s="583" customFormat="1" x14ac:dyDescent="0.25">
      <c r="A376" s="608"/>
      <c r="B376" s="608"/>
      <c r="C376" s="608"/>
      <c r="D376" s="608"/>
      <c r="E376" s="609"/>
      <c r="F376" s="609"/>
      <c r="G376" s="609"/>
      <c r="H376" s="609"/>
      <c r="I376" s="609"/>
      <c r="J376" s="609"/>
      <c r="K376" s="609"/>
      <c r="M376" s="453"/>
      <c r="N376" s="453"/>
      <c r="O376" s="453"/>
      <c r="P376" s="453"/>
      <c r="Q376" s="453"/>
      <c r="R376" s="453"/>
      <c r="S376" s="453"/>
      <c r="T376" s="453"/>
      <c r="U376" s="453"/>
      <c r="V376" s="453"/>
      <c r="W376" s="453"/>
      <c r="X376" s="453"/>
      <c r="Y376" s="453"/>
      <c r="Z376" s="453"/>
      <c r="AA376" s="453"/>
    </row>
    <row r="377" spans="1:27" s="583" customFormat="1" x14ac:dyDescent="0.25">
      <c r="A377" s="608"/>
      <c r="B377" s="608"/>
      <c r="C377" s="608"/>
      <c r="D377" s="608"/>
      <c r="E377" s="609"/>
      <c r="F377" s="609"/>
      <c r="G377" s="609"/>
      <c r="H377" s="609"/>
      <c r="I377" s="609"/>
      <c r="J377" s="609"/>
      <c r="K377" s="609"/>
      <c r="M377" s="453"/>
      <c r="N377" s="453"/>
      <c r="O377" s="453"/>
      <c r="P377" s="453"/>
      <c r="Q377" s="453"/>
      <c r="R377" s="453"/>
      <c r="S377" s="453"/>
      <c r="T377" s="453"/>
      <c r="U377" s="453"/>
      <c r="V377" s="453"/>
      <c r="W377" s="453"/>
      <c r="X377" s="453"/>
      <c r="Y377" s="453"/>
      <c r="Z377" s="453"/>
      <c r="AA377" s="453"/>
    </row>
    <row r="378" spans="1:27" s="583" customFormat="1" x14ac:dyDescent="0.25">
      <c r="A378" s="608"/>
      <c r="B378" s="608"/>
      <c r="C378" s="608"/>
      <c r="D378" s="608"/>
      <c r="E378" s="609"/>
      <c r="F378" s="609"/>
      <c r="G378" s="609"/>
      <c r="H378" s="609"/>
      <c r="I378" s="609"/>
      <c r="J378" s="609"/>
      <c r="K378" s="609"/>
      <c r="M378" s="453"/>
      <c r="N378" s="453"/>
      <c r="O378" s="453"/>
      <c r="P378" s="453"/>
      <c r="Q378" s="453"/>
      <c r="R378" s="453"/>
      <c r="S378" s="453"/>
      <c r="T378" s="453"/>
      <c r="U378" s="453"/>
      <c r="V378" s="453"/>
      <c r="W378" s="453"/>
      <c r="X378" s="453"/>
      <c r="Y378" s="453"/>
      <c r="Z378" s="453"/>
      <c r="AA378" s="453"/>
    </row>
    <row r="379" spans="1:27" s="583" customFormat="1" x14ac:dyDescent="0.25">
      <c r="A379" s="608"/>
      <c r="B379" s="608"/>
      <c r="C379" s="608"/>
      <c r="D379" s="608"/>
      <c r="E379" s="609"/>
      <c r="F379" s="609"/>
      <c r="G379" s="609"/>
      <c r="H379" s="609"/>
      <c r="I379" s="609"/>
      <c r="J379" s="609"/>
      <c r="K379" s="609"/>
      <c r="M379" s="453"/>
      <c r="N379" s="453"/>
      <c r="O379" s="453"/>
      <c r="P379" s="453"/>
      <c r="Q379" s="453"/>
      <c r="R379" s="453"/>
      <c r="S379" s="453"/>
      <c r="T379" s="453"/>
      <c r="U379" s="453"/>
      <c r="V379" s="453"/>
      <c r="W379" s="453"/>
      <c r="X379" s="453"/>
      <c r="Y379" s="453"/>
      <c r="Z379" s="453"/>
      <c r="AA379" s="453"/>
    </row>
    <row r="380" spans="1:27" s="583" customFormat="1" x14ac:dyDescent="0.25">
      <c r="A380" s="608"/>
      <c r="B380" s="608"/>
      <c r="C380" s="608"/>
      <c r="D380" s="608"/>
      <c r="E380" s="609"/>
      <c r="F380" s="609"/>
      <c r="G380" s="609"/>
      <c r="H380" s="609"/>
      <c r="I380" s="609"/>
      <c r="J380" s="609"/>
      <c r="K380" s="609"/>
      <c r="M380" s="453"/>
      <c r="N380" s="453"/>
      <c r="O380" s="453"/>
      <c r="P380" s="453"/>
      <c r="Q380" s="453"/>
      <c r="R380" s="453"/>
      <c r="S380" s="453"/>
      <c r="T380" s="453"/>
      <c r="U380" s="453"/>
      <c r="V380" s="453"/>
      <c r="W380" s="453"/>
      <c r="X380" s="453"/>
      <c r="Y380" s="453"/>
      <c r="Z380" s="453"/>
      <c r="AA380" s="453"/>
    </row>
    <row r="381" spans="1:27" s="583" customFormat="1" x14ac:dyDescent="0.25">
      <c r="A381" s="608"/>
      <c r="B381" s="608"/>
      <c r="C381" s="608"/>
      <c r="D381" s="608"/>
      <c r="E381" s="609"/>
      <c r="F381" s="609"/>
      <c r="G381" s="609"/>
      <c r="H381" s="609"/>
      <c r="I381" s="609"/>
      <c r="J381" s="609"/>
      <c r="K381" s="609"/>
      <c r="M381" s="453"/>
      <c r="N381" s="453"/>
      <c r="O381" s="453"/>
      <c r="P381" s="453"/>
      <c r="Q381" s="453"/>
      <c r="R381" s="453"/>
      <c r="S381" s="453"/>
      <c r="T381" s="453"/>
      <c r="U381" s="453"/>
      <c r="V381" s="453"/>
      <c r="W381" s="453"/>
      <c r="X381" s="453"/>
      <c r="Y381" s="453"/>
      <c r="Z381" s="453"/>
      <c r="AA381" s="453"/>
    </row>
    <row r="382" spans="1:27" s="583" customFormat="1" x14ac:dyDescent="0.25">
      <c r="A382" s="608"/>
      <c r="B382" s="608"/>
      <c r="C382" s="608"/>
      <c r="D382" s="608"/>
      <c r="E382" s="609"/>
      <c r="F382" s="609"/>
      <c r="G382" s="609"/>
      <c r="H382" s="609"/>
      <c r="I382" s="609"/>
      <c r="J382" s="609"/>
      <c r="K382" s="609"/>
      <c r="M382" s="453"/>
      <c r="N382" s="453"/>
      <c r="O382" s="453"/>
      <c r="P382" s="453"/>
      <c r="Q382" s="453"/>
      <c r="R382" s="453"/>
      <c r="S382" s="453"/>
      <c r="T382" s="453"/>
      <c r="U382" s="453"/>
      <c r="V382" s="453"/>
      <c r="W382" s="453"/>
      <c r="X382" s="453"/>
      <c r="Y382" s="453"/>
      <c r="Z382" s="453"/>
      <c r="AA382" s="453"/>
    </row>
    <row r="383" spans="1:27" s="583" customFormat="1" x14ac:dyDescent="0.25">
      <c r="A383" s="608"/>
      <c r="B383" s="608"/>
      <c r="C383" s="608"/>
      <c r="D383" s="608"/>
      <c r="E383" s="609"/>
      <c r="F383" s="609"/>
      <c r="G383" s="609"/>
      <c r="H383" s="609"/>
      <c r="I383" s="609"/>
      <c r="J383" s="609"/>
      <c r="K383" s="609"/>
      <c r="M383" s="453"/>
      <c r="N383" s="453"/>
      <c r="O383" s="453"/>
      <c r="P383" s="453"/>
      <c r="Q383" s="453"/>
      <c r="R383" s="453"/>
      <c r="S383" s="453"/>
      <c r="T383" s="453"/>
      <c r="U383" s="453"/>
      <c r="V383" s="453"/>
      <c r="W383" s="453"/>
      <c r="X383" s="453"/>
      <c r="Y383" s="453"/>
      <c r="Z383" s="453"/>
      <c r="AA383" s="453"/>
    </row>
    <row r="384" spans="1:27" s="583" customFormat="1" x14ac:dyDescent="0.25">
      <c r="A384" s="608"/>
      <c r="B384" s="608"/>
      <c r="C384" s="608"/>
      <c r="D384" s="608"/>
      <c r="E384" s="609"/>
      <c r="F384" s="609"/>
      <c r="G384" s="609"/>
      <c r="H384" s="609"/>
      <c r="I384" s="609"/>
      <c r="J384" s="609"/>
      <c r="K384" s="609"/>
      <c r="M384" s="453"/>
      <c r="N384" s="453"/>
      <c r="O384" s="453"/>
      <c r="P384" s="453"/>
      <c r="Q384" s="453"/>
      <c r="R384" s="453"/>
      <c r="S384" s="453"/>
      <c r="T384" s="453"/>
      <c r="U384" s="453"/>
      <c r="V384" s="453"/>
      <c r="W384" s="453"/>
      <c r="X384" s="453"/>
      <c r="Y384" s="453"/>
      <c r="Z384" s="453"/>
      <c r="AA384" s="453"/>
    </row>
    <row r="385" spans="1:27" s="583" customFormat="1" x14ac:dyDescent="0.25">
      <c r="A385" s="608"/>
      <c r="B385" s="608"/>
      <c r="C385" s="608"/>
      <c r="D385" s="608"/>
      <c r="E385" s="609"/>
      <c r="F385" s="609"/>
      <c r="G385" s="609"/>
      <c r="H385" s="609"/>
      <c r="I385" s="609"/>
      <c r="J385" s="609"/>
      <c r="K385" s="609"/>
      <c r="M385" s="453"/>
      <c r="N385" s="453"/>
      <c r="O385" s="453"/>
      <c r="P385" s="453"/>
      <c r="Q385" s="453"/>
      <c r="R385" s="453"/>
      <c r="S385" s="453"/>
      <c r="T385" s="453"/>
      <c r="U385" s="453"/>
      <c r="V385" s="453"/>
      <c r="W385" s="453"/>
      <c r="X385" s="453"/>
      <c r="Y385" s="453"/>
      <c r="Z385" s="453"/>
      <c r="AA385" s="453"/>
    </row>
    <row r="386" spans="1:27" s="583" customFormat="1" x14ac:dyDescent="0.25">
      <c r="A386" s="608"/>
      <c r="B386" s="608"/>
      <c r="C386" s="608"/>
      <c r="D386" s="608"/>
      <c r="E386" s="609"/>
      <c r="F386" s="609"/>
      <c r="G386" s="609"/>
      <c r="H386" s="609"/>
      <c r="I386" s="609"/>
      <c r="J386" s="609"/>
      <c r="K386" s="609"/>
      <c r="M386" s="453"/>
      <c r="N386" s="453"/>
      <c r="O386" s="453"/>
      <c r="P386" s="453"/>
      <c r="Q386" s="453"/>
      <c r="R386" s="453"/>
      <c r="S386" s="453"/>
      <c r="T386" s="453"/>
      <c r="U386" s="453"/>
      <c r="V386" s="453"/>
      <c r="W386" s="453"/>
      <c r="X386" s="453"/>
      <c r="Y386" s="453"/>
      <c r="Z386" s="453"/>
      <c r="AA386" s="453"/>
    </row>
    <row r="387" spans="1:27" s="583" customFormat="1" x14ac:dyDescent="0.25">
      <c r="A387" s="608"/>
      <c r="B387" s="608"/>
      <c r="C387" s="608"/>
      <c r="D387" s="608"/>
      <c r="E387" s="609"/>
      <c r="F387" s="609"/>
      <c r="G387" s="609"/>
      <c r="H387" s="609"/>
      <c r="I387" s="609"/>
      <c r="J387" s="609"/>
      <c r="K387" s="609"/>
      <c r="M387" s="453"/>
      <c r="N387" s="453"/>
      <c r="O387" s="453"/>
      <c r="P387" s="453"/>
      <c r="Q387" s="453"/>
      <c r="R387" s="453"/>
      <c r="S387" s="453"/>
      <c r="T387" s="453"/>
      <c r="U387" s="453"/>
      <c r="V387" s="453"/>
      <c r="W387" s="453"/>
      <c r="X387" s="453"/>
      <c r="Y387" s="453"/>
      <c r="Z387" s="453"/>
      <c r="AA387" s="453"/>
    </row>
    <row r="388" spans="1:27" s="583" customFormat="1" x14ac:dyDescent="0.25">
      <c r="A388" s="608"/>
      <c r="B388" s="608"/>
      <c r="C388" s="608"/>
      <c r="D388" s="608"/>
      <c r="E388" s="609"/>
      <c r="F388" s="609"/>
      <c r="G388" s="609"/>
      <c r="H388" s="609"/>
      <c r="I388" s="609"/>
      <c r="J388" s="609"/>
      <c r="K388" s="609"/>
      <c r="M388" s="453"/>
      <c r="N388" s="453"/>
      <c r="O388" s="453"/>
      <c r="P388" s="453"/>
      <c r="Q388" s="453"/>
      <c r="R388" s="453"/>
      <c r="S388" s="453"/>
      <c r="T388" s="453"/>
      <c r="U388" s="453"/>
      <c r="V388" s="453"/>
      <c r="W388" s="453"/>
      <c r="X388" s="453"/>
      <c r="Y388" s="453"/>
      <c r="Z388" s="453"/>
      <c r="AA388" s="453"/>
    </row>
    <row r="389" spans="1:27" s="583" customFormat="1" x14ac:dyDescent="0.25">
      <c r="A389" s="608"/>
      <c r="B389" s="608"/>
      <c r="C389" s="608"/>
      <c r="D389" s="608"/>
      <c r="E389" s="609"/>
      <c r="F389" s="609"/>
      <c r="G389" s="609"/>
      <c r="H389" s="609"/>
      <c r="I389" s="609"/>
      <c r="J389" s="609"/>
      <c r="K389" s="609"/>
      <c r="M389" s="453"/>
      <c r="N389" s="453"/>
      <c r="O389" s="453"/>
      <c r="P389" s="453"/>
      <c r="Q389" s="453"/>
      <c r="R389" s="453"/>
      <c r="S389" s="453"/>
      <c r="T389" s="453"/>
      <c r="U389" s="453"/>
      <c r="V389" s="453"/>
      <c r="W389" s="453"/>
      <c r="X389" s="453"/>
      <c r="Y389" s="453"/>
      <c r="Z389" s="453"/>
      <c r="AA389" s="453"/>
    </row>
    <row r="390" spans="1:27" s="583" customFormat="1" x14ac:dyDescent="0.25">
      <c r="A390" s="608"/>
      <c r="B390" s="608"/>
      <c r="C390" s="608"/>
      <c r="D390" s="608"/>
      <c r="E390" s="609"/>
      <c r="F390" s="609"/>
      <c r="G390" s="609"/>
      <c r="H390" s="609"/>
      <c r="I390" s="609"/>
      <c r="J390" s="609"/>
      <c r="K390" s="609"/>
      <c r="M390" s="453"/>
      <c r="N390" s="453"/>
      <c r="O390" s="453"/>
      <c r="P390" s="453"/>
      <c r="Q390" s="453"/>
      <c r="R390" s="453"/>
      <c r="S390" s="453"/>
      <c r="T390" s="453"/>
      <c r="U390" s="453"/>
      <c r="V390" s="453"/>
      <c r="W390" s="453"/>
      <c r="X390" s="453"/>
      <c r="Y390" s="453"/>
      <c r="Z390" s="453"/>
      <c r="AA390" s="453"/>
    </row>
    <row r="391" spans="1:27" s="583" customFormat="1" x14ac:dyDescent="0.25">
      <c r="A391" s="608"/>
      <c r="B391" s="608"/>
      <c r="C391" s="608"/>
      <c r="D391" s="608"/>
      <c r="E391" s="609"/>
      <c r="F391" s="609"/>
      <c r="G391" s="609"/>
      <c r="H391" s="609"/>
      <c r="I391" s="609"/>
      <c r="J391" s="609"/>
      <c r="K391" s="609"/>
      <c r="M391" s="453"/>
      <c r="N391" s="453"/>
      <c r="O391" s="453"/>
      <c r="P391" s="453"/>
      <c r="Q391" s="453"/>
      <c r="R391" s="453"/>
      <c r="S391" s="453"/>
      <c r="T391" s="453"/>
      <c r="U391" s="453"/>
      <c r="V391" s="453"/>
      <c r="W391" s="453"/>
      <c r="X391" s="453"/>
      <c r="Y391" s="453"/>
      <c r="Z391" s="453"/>
      <c r="AA391" s="453"/>
    </row>
    <row r="392" spans="1:27" s="583" customFormat="1" x14ac:dyDescent="0.25">
      <c r="A392" s="608"/>
      <c r="B392" s="608"/>
      <c r="C392" s="608"/>
      <c r="D392" s="608"/>
      <c r="E392" s="609"/>
      <c r="F392" s="609"/>
      <c r="G392" s="609"/>
      <c r="H392" s="609"/>
      <c r="I392" s="609"/>
      <c r="J392" s="609"/>
      <c r="K392" s="609"/>
      <c r="M392" s="453"/>
      <c r="N392" s="453"/>
      <c r="O392" s="453"/>
      <c r="P392" s="453"/>
      <c r="Q392" s="453"/>
      <c r="R392" s="453"/>
      <c r="S392" s="453"/>
      <c r="T392" s="453"/>
      <c r="U392" s="453"/>
      <c r="V392" s="453"/>
      <c r="W392" s="453"/>
      <c r="X392" s="453"/>
      <c r="Y392" s="453"/>
      <c r="Z392" s="453"/>
      <c r="AA392" s="453"/>
    </row>
    <row r="393" spans="1:27" s="583" customFormat="1" x14ac:dyDescent="0.25">
      <c r="A393" s="608"/>
      <c r="B393" s="608"/>
      <c r="C393" s="608"/>
      <c r="D393" s="608"/>
      <c r="E393" s="609"/>
      <c r="F393" s="609"/>
      <c r="G393" s="609"/>
      <c r="H393" s="609"/>
      <c r="I393" s="609"/>
      <c r="J393" s="609"/>
      <c r="K393" s="609"/>
      <c r="M393" s="453"/>
      <c r="N393" s="453"/>
      <c r="O393" s="453"/>
      <c r="P393" s="453"/>
      <c r="Q393" s="453"/>
      <c r="R393" s="453"/>
      <c r="S393" s="453"/>
      <c r="T393" s="453"/>
      <c r="U393" s="453"/>
      <c r="V393" s="453"/>
      <c r="W393" s="453"/>
      <c r="X393" s="453"/>
      <c r="Y393" s="453"/>
      <c r="Z393" s="453"/>
      <c r="AA393" s="453"/>
    </row>
    <row r="394" spans="1:27" s="583" customFormat="1" x14ac:dyDescent="0.25">
      <c r="A394" s="608"/>
      <c r="B394" s="608"/>
      <c r="C394" s="608"/>
      <c r="D394" s="608"/>
      <c r="E394" s="609"/>
      <c r="F394" s="609"/>
      <c r="G394" s="609"/>
      <c r="H394" s="609"/>
      <c r="I394" s="609"/>
      <c r="J394" s="609"/>
      <c r="K394" s="609"/>
      <c r="M394" s="453"/>
      <c r="N394" s="453"/>
      <c r="O394" s="453"/>
      <c r="P394" s="453"/>
      <c r="Q394" s="453"/>
      <c r="R394" s="453"/>
      <c r="S394" s="453"/>
      <c r="T394" s="453"/>
      <c r="U394" s="453"/>
      <c r="V394" s="453"/>
      <c r="W394" s="453"/>
      <c r="X394" s="453"/>
      <c r="Y394" s="453"/>
      <c r="Z394" s="453"/>
      <c r="AA394" s="453"/>
    </row>
    <row r="395" spans="1:27" s="583" customFormat="1" x14ac:dyDescent="0.25">
      <c r="A395" s="608"/>
      <c r="B395" s="608"/>
      <c r="C395" s="608"/>
      <c r="D395" s="608"/>
      <c r="E395" s="609"/>
      <c r="F395" s="609"/>
      <c r="G395" s="609"/>
      <c r="H395" s="609"/>
      <c r="I395" s="609"/>
      <c r="J395" s="609"/>
      <c r="K395" s="609"/>
      <c r="M395" s="453"/>
      <c r="N395" s="453"/>
      <c r="O395" s="453"/>
      <c r="P395" s="453"/>
      <c r="Q395" s="453"/>
      <c r="R395" s="453"/>
      <c r="S395" s="453"/>
      <c r="T395" s="453"/>
      <c r="U395" s="453"/>
      <c r="V395" s="453"/>
      <c r="W395" s="453"/>
      <c r="X395" s="453"/>
      <c r="Y395" s="453"/>
      <c r="Z395" s="453"/>
      <c r="AA395" s="453"/>
    </row>
    <row r="396" spans="1:27" s="583" customFormat="1" x14ac:dyDescent="0.25">
      <c r="A396" s="608"/>
      <c r="B396" s="608"/>
      <c r="C396" s="608"/>
      <c r="D396" s="608"/>
      <c r="E396" s="609"/>
      <c r="F396" s="609"/>
      <c r="G396" s="609"/>
      <c r="H396" s="609"/>
      <c r="I396" s="609"/>
      <c r="J396" s="609"/>
      <c r="K396" s="609"/>
      <c r="M396" s="453"/>
      <c r="N396" s="453"/>
      <c r="O396" s="453"/>
      <c r="P396" s="453"/>
      <c r="Q396" s="453"/>
      <c r="R396" s="453"/>
      <c r="S396" s="453"/>
      <c r="T396" s="453"/>
      <c r="U396" s="453"/>
      <c r="V396" s="453"/>
      <c r="W396" s="453"/>
      <c r="X396" s="453"/>
      <c r="Y396" s="453"/>
      <c r="Z396" s="453"/>
      <c r="AA396" s="453"/>
    </row>
    <row r="397" spans="1:27" s="583" customFormat="1" x14ac:dyDescent="0.25">
      <c r="A397" s="608"/>
      <c r="B397" s="608"/>
      <c r="C397" s="608"/>
      <c r="D397" s="608"/>
      <c r="E397" s="609"/>
      <c r="F397" s="609"/>
      <c r="G397" s="609"/>
      <c r="H397" s="609"/>
      <c r="I397" s="609"/>
      <c r="J397" s="609"/>
      <c r="K397" s="609"/>
      <c r="M397" s="453"/>
      <c r="N397" s="453"/>
      <c r="O397" s="453"/>
      <c r="P397" s="453"/>
      <c r="Q397" s="453"/>
      <c r="R397" s="453"/>
      <c r="S397" s="453"/>
      <c r="T397" s="453"/>
      <c r="U397" s="453"/>
      <c r="V397" s="453"/>
      <c r="W397" s="453"/>
      <c r="X397" s="453"/>
      <c r="Y397" s="453"/>
      <c r="Z397" s="453"/>
      <c r="AA397" s="453"/>
    </row>
    <row r="398" spans="1:27" s="583" customFormat="1" x14ac:dyDescent="0.25">
      <c r="A398" s="608"/>
      <c r="B398" s="608"/>
      <c r="C398" s="608"/>
      <c r="D398" s="608"/>
      <c r="E398" s="609"/>
      <c r="F398" s="609"/>
      <c r="G398" s="609"/>
      <c r="H398" s="609"/>
      <c r="I398" s="609"/>
      <c r="J398" s="609"/>
      <c r="K398" s="609"/>
      <c r="M398" s="453"/>
      <c r="N398" s="453"/>
      <c r="O398" s="453"/>
      <c r="P398" s="453"/>
      <c r="Q398" s="453"/>
      <c r="R398" s="453"/>
      <c r="S398" s="453"/>
      <c r="T398" s="453"/>
      <c r="U398" s="453"/>
      <c r="V398" s="453"/>
      <c r="W398" s="453"/>
      <c r="X398" s="453"/>
      <c r="Y398" s="453"/>
      <c r="Z398" s="453"/>
      <c r="AA398" s="453"/>
    </row>
    <row r="399" spans="1:27" s="583" customFormat="1" x14ac:dyDescent="0.25">
      <c r="A399" s="608"/>
      <c r="B399" s="608"/>
      <c r="C399" s="608"/>
      <c r="D399" s="608"/>
      <c r="E399" s="609"/>
      <c r="F399" s="609"/>
      <c r="G399" s="609"/>
      <c r="H399" s="609"/>
      <c r="I399" s="609"/>
      <c r="J399" s="609"/>
      <c r="K399" s="609"/>
      <c r="M399" s="453"/>
      <c r="N399" s="453"/>
      <c r="O399" s="453"/>
      <c r="P399" s="453"/>
      <c r="Q399" s="453"/>
      <c r="R399" s="453"/>
      <c r="S399" s="453"/>
      <c r="T399" s="453"/>
      <c r="U399" s="453"/>
      <c r="V399" s="453"/>
      <c r="W399" s="453"/>
      <c r="X399" s="453"/>
      <c r="Y399" s="453"/>
      <c r="Z399" s="453"/>
      <c r="AA399" s="453"/>
    </row>
    <row r="400" spans="1:27" s="583" customFormat="1" x14ac:dyDescent="0.25">
      <c r="A400" s="608"/>
      <c r="B400" s="608"/>
      <c r="C400" s="608"/>
      <c r="D400" s="608"/>
      <c r="E400" s="609"/>
      <c r="F400" s="609"/>
      <c r="G400" s="609"/>
      <c r="H400" s="609"/>
      <c r="I400" s="609"/>
      <c r="J400" s="609"/>
      <c r="K400" s="609"/>
      <c r="M400" s="453"/>
      <c r="N400" s="453"/>
      <c r="O400" s="453"/>
      <c r="P400" s="453"/>
      <c r="Q400" s="453"/>
      <c r="R400" s="453"/>
      <c r="S400" s="453"/>
      <c r="T400" s="453"/>
      <c r="U400" s="453"/>
      <c r="V400" s="453"/>
      <c r="W400" s="453"/>
      <c r="X400" s="453"/>
      <c r="Y400" s="453"/>
      <c r="Z400" s="453"/>
      <c r="AA400" s="453"/>
    </row>
    <row r="401" spans="1:27" s="583" customFormat="1" x14ac:dyDescent="0.25">
      <c r="A401" s="608"/>
      <c r="B401" s="608"/>
      <c r="C401" s="608"/>
      <c r="D401" s="608"/>
      <c r="E401" s="609"/>
      <c r="F401" s="609"/>
      <c r="G401" s="609"/>
      <c r="H401" s="609"/>
      <c r="I401" s="609"/>
      <c r="J401" s="609"/>
      <c r="K401" s="609"/>
      <c r="M401" s="453"/>
      <c r="N401" s="453"/>
      <c r="O401" s="453"/>
      <c r="P401" s="453"/>
      <c r="Q401" s="453"/>
      <c r="R401" s="453"/>
      <c r="S401" s="453"/>
      <c r="T401" s="453"/>
      <c r="U401" s="453"/>
      <c r="V401" s="453"/>
      <c r="W401" s="453"/>
      <c r="X401" s="453"/>
      <c r="Y401" s="453"/>
      <c r="Z401" s="453"/>
      <c r="AA401" s="453"/>
    </row>
    <row r="402" spans="1:27" s="583" customFormat="1" x14ac:dyDescent="0.25">
      <c r="A402" s="608"/>
      <c r="B402" s="608"/>
      <c r="C402" s="608"/>
      <c r="D402" s="608"/>
      <c r="E402" s="609"/>
      <c r="F402" s="609"/>
      <c r="G402" s="609"/>
      <c r="H402" s="609"/>
      <c r="I402" s="609"/>
      <c r="J402" s="609"/>
      <c r="K402" s="609"/>
      <c r="M402" s="453"/>
      <c r="N402" s="453"/>
      <c r="O402" s="453"/>
      <c r="P402" s="453"/>
      <c r="Q402" s="453"/>
      <c r="R402" s="453"/>
      <c r="S402" s="453"/>
      <c r="T402" s="453"/>
      <c r="U402" s="453"/>
      <c r="V402" s="453"/>
      <c r="W402" s="453"/>
      <c r="X402" s="453"/>
      <c r="Y402" s="453"/>
      <c r="Z402" s="453"/>
      <c r="AA402" s="453"/>
    </row>
    <row r="403" spans="1:27" s="583" customFormat="1" x14ac:dyDescent="0.25">
      <c r="A403" s="608"/>
      <c r="B403" s="608"/>
      <c r="C403" s="608"/>
      <c r="D403" s="608"/>
      <c r="E403" s="609"/>
      <c r="F403" s="609"/>
      <c r="G403" s="609"/>
      <c r="H403" s="609"/>
      <c r="I403" s="609"/>
      <c r="J403" s="609"/>
      <c r="K403" s="609"/>
      <c r="M403" s="453"/>
      <c r="N403" s="453"/>
      <c r="O403" s="453"/>
      <c r="P403" s="453"/>
      <c r="Q403" s="453"/>
      <c r="R403" s="453"/>
      <c r="S403" s="453"/>
      <c r="T403" s="453"/>
      <c r="U403" s="453"/>
      <c r="V403" s="453"/>
      <c r="W403" s="453"/>
      <c r="X403" s="453"/>
      <c r="Y403" s="453"/>
      <c r="Z403" s="453"/>
      <c r="AA403" s="453"/>
    </row>
    <row r="404" spans="1:27" s="583" customFormat="1" x14ac:dyDescent="0.25">
      <c r="A404" s="608"/>
      <c r="B404" s="608"/>
      <c r="C404" s="608"/>
      <c r="D404" s="608"/>
      <c r="E404" s="609"/>
      <c r="F404" s="609"/>
      <c r="G404" s="609"/>
      <c r="H404" s="609"/>
      <c r="I404" s="609"/>
      <c r="J404" s="609"/>
      <c r="K404" s="609"/>
      <c r="M404" s="453"/>
      <c r="N404" s="453"/>
      <c r="O404" s="453"/>
      <c r="P404" s="453"/>
      <c r="Q404" s="453"/>
      <c r="R404" s="453"/>
      <c r="S404" s="453"/>
      <c r="T404" s="453"/>
      <c r="U404" s="453"/>
      <c r="V404" s="453"/>
      <c r="W404" s="453"/>
      <c r="X404" s="453"/>
      <c r="Y404" s="453"/>
      <c r="Z404" s="453"/>
      <c r="AA404" s="453"/>
    </row>
    <row r="405" spans="1:27" s="583" customFormat="1" x14ac:dyDescent="0.25">
      <c r="A405" s="608"/>
      <c r="B405" s="608"/>
      <c r="C405" s="608"/>
      <c r="D405" s="608"/>
      <c r="E405" s="609"/>
      <c r="F405" s="609"/>
      <c r="G405" s="609"/>
      <c r="H405" s="609"/>
      <c r="I405" s="609"/>
      <c r="J405" s="609"/>
      <c r="K405" s="609"/>
      <c r="M405" s="453"/>
      <c r="N405" s="453"/>
      <c r="O405" s="453"/>
      <c r="P405" s="453"/>
      <c r="Q405" s="453"/>
      <c r="R405" s="453"/>
      <c r="S405" s="453"/>
      <c r="T405" s="453"/>
      <c r="U405" s="453"/>
      <c r="V405" s="453"/>
      <c r="W405" s="453"/>
      <c r="X405" s="453"/>
      <c r="Y405" s="453"/>
      <c r="Z405" s="453"/>
      <c r="AA405" s="453"/>
    </row>
    <row r="406" spans="1:27" s="583" customFormat="1" x14ac:dyDescent="0.25">
      <c r="A406" s="608"/>
      <c r="B406" s="608"/>
      <c r="C406" s="608"/>
      <c r="D406" s="608"/>
      <c r="E406" s="609"/>
      <c r="F406" s="609"/>
      <c r="G406" s="609"/>
      <c r="H406" s="609"/>
      <c r="I406" s="609"/>
      <c r="J406" s="609"/>
      <c r="K406" s="609"/>
      <c r="M406" s="453"/>
      <c r="N406" s="453"/>
      <c r="O406" s="453"/>
      <c r="P406" s="453"/>
      <c r="Q406" s="453"/>
      <c r="R406" s="453"/>
      <c r="S406" s="453"/>
      <c r="T406" s="453"/>
      <c r="U406" s="453"/>
      <c r="V406" s="453"/>
      <c r="W406" s="453"/>
      <c r="X406" s="453"/>
      <c r="Y406" s="453"/>
      <c r="Z406" s="453"/>
      <c r="AA406" s="453"/>
    </row>
    <row r="407" spans="1:27" s="583" customFormat="1" x14ac:dyDescent="0.25">
      <c r="A407" s="608"/>
      <c r="B407" s="608"/>
      <c r="C407" s="608"/>
      <c r="D407" s="608"/>
      <c r="E407" s="609"/>
      <c r="F407" s="609"/>
      <c r="G407" s="609"/>
      <c r="H407" s="609"/>
      <c r="I407" s="609"/>
      <c r="J407" s="609"/>
      <c r="K407" s="609"/>
      <c r="M407" s="453"/>
      <c r="N407" s="453"/>
      <c r="O407" s="453"/>
      <c r="P407" s="453"/>
      <c r="Q407" s="453"/>
      <c r="R407" s="453"/>
      <c r="S407" s="453"/>
      <c r="T407" s="453"/>
      <c r="U407" s="453"/>
      <c r="V407" s="453"/>
      <c r="W407" s="453"/>
      <c r="X407" s="453"/>
      <c r="Y407" s="453"/>
      <c r="Z407" s="453"/>
      <c r="AA407" s="453"/>
    </row>
    <row r="408" spans="1:27" s="583" customFormat="1" x14ac:dyDescent="0.25">
      <c r="A408" s="608"/>
      <c r="B408" s="608"/>
      <c r="C408" s="608"/>
      <c r="D408" s="608"/>
      <c r="E408" s="609"/>
      <c r="F408" s="609"/>
      <c r="G408" s="609"/>
      <c r="H408" s="609"/>
      <c r="I408" s="609"/>
      <c r="J408" s="609"/>
      <c r="K408" s="609"/>
      <c r="M408" s="453"/>
      <c r="N408" s="453"/>
      <c r="O408" s="453"/>
      <c r="P408" s="453"/>
      <c r="Q408" s="453"/>
      <c r="R408" s="453"/>
      <c r="S408" s="453"/>
      <c r="T408" s="453"/>
      <c r="U408" s="453"/>
      <c r="V408" s="453"/>
      <c r="W408" s="453"/>
      <c r="X408" s="453"/>
      <c r="Y408" s="453"/>
      <c r="Z408" s="453"/>
      <c r="AA408" s="453"/>
    </row>
    <row r="409" spans="1:27" s="583" customFormat="1" x14ac:dyDescent="0.25">
      <c r="A409" s="608"/>
      <c r="B409" s="608"/>
      <c r="C409" s="608"/>
      <c r="D409" s="608"/>
      <c r="E409" s="609"/>
      <c r="F409" s="609"/>
      <c r="G409" s="609"/>
      <c r="H409" s="609"/>
      <c r="I409" s="609"/>
      <c r="J409" s="609"/>
      <c r="K409" s="609"/>
      <c r="M409" s="453"/>
      <c r="N409" s="453"/>
      <c r="O409" s="453"/>
      <c r="P409" s="453"/>
      <c r="Q409" s="453"/>
      <c r="R409" s="453"/>
      <c r="S409" s="453"/>
      <c r="T409" s="453"/>
      <c r="U409" s="453"/>
      <c r="V409" s="453"/>
      <c r="W409" s="453"/>
      <c r="X409" s="453"/>
      <c r="Y409" s="453"/>
      <c r="Z409" s="453"/>
      <c r="AA409" s="453"/>
    </row>
    <row r="410" spans="1:27" s="583" customFormat="1" x14ac:dyDescent="0.25">
      <c r="A410" s="608"/>
      <c r="B410" s="608"/>
      <c r="C410" s="608"/>
      <c r="D410" s="608"/>
      <c r="E410" s="609"/>
      <c r="F410" s="609"/>
      <c r="G410" s="609"/>
      <c r="H410" s="609"/>
      <c r="I410" s="609"/>
      <c r="J410" s="609"/>
      <c r="K410" s="609"/>
      <c r="M410" s="453"/>
      <c r="N410" s="453"/>
      <c r="O410" s="453"/>
      <c r="P410" s="453"/>
      <c r="Q410" s="453"/>
      <c r="R410" s="453"/>
      <c r="S410" s="453"/>
      <c r="T410" s="453"/>
      <c r="U410" s="453"/>
      <c r="V410" s="453"/>
      <c r="W410" s="453"/>
      <c r="X410" s="453"/>
      <c r="Y410" s="453"/>
      <c r="Z410" s="453"/>
      <c r="AA410" s="453"/>
    </row>
    <row r="411" spans="1:27" s="583" customFormat="1" x14ac:dyDescent="0.25">
      <c r="A411" s="608"/>
      <c r="B411" s="608"/>
      <c r="C411" s="608"/>
      <c r="D411" s="608"/>
      <c r="E411" s="609"/>
      <c r="F411" s="609"/>
      <c r="G411" s="609"/>
      <c r="H411" s="609"/>
      <c r="I411" s="609"/>
      <c r="J411" s="609"/>
      <c r="K411" s="609"/>
      <c r="M411" s="453"/>
      <c r="N411" s="453"/>
      <c r="O411" s="453"/>
      <c r="P411" s="453"/>
      <c r="Q411" s="453"/>
      <c r="R411" s="453"/>
      <c r="S411" s="453"/>
      <c r="T411" s="453"/>
      <c r="U411" s="453"/>
      <c r="V411" s="453"/>
      <c r="W411" s="453"/>
      <c r="X411" s="453"/>
      <c r="Y411" s="453"/>
      <c r="Z411" s="453"/>
      <c r="AA411" s="453"/>
    </row>
    <row r="412" spans="1:27" s="583" customFormat="1" x14ac:dyDescent="0.25">
      <c r="A412" s="608"/>
      <c r="B412" s="608"/>
      <c r="C412" s="608"/>
      <c r="D412" s="608"/>
      <c r="E412" s="609"/>
      <c r="F412" s="609"/>
      <c r="G412" s="609"/>
      <c r="H412" s="609"/>
      <c r="I412" s="609"/>
      <c r="J412" s="609"/>
      <c r="K412" s="609"/>
      <c r="M412" s="453"/>
      <c r="N412" s="453"/>
      <c r="O412" s="453"/>
      <c r="P412" s="453"/>
      <c r="Q412" s="453"/>
      <c r="R412" s="453"/>
      <c r="S412" s="453"/>
      <c r="T412" s="453"/>
      <c r="U412" s="453"/>
      <c r="V412" s="453"/>
      <c r="W412" s="453"/>
      <c r="X412" s="453"/>
      <c r="Y412" s="453"/>
      <c r="Z412" s="453"/>
      <c r="AA412" s="453"/>
    </row>
    <row r="413" spans="1:27" s="583" customFormat="1" x14ac:dyDescent="0.25">
      <c r="A413" s="608"/>
      <c r="B413" s="608"/>
      <c r="C413" s="608"/>
      <c r="D413" s="608"/>
      <c r="E413" s="609"/>
      <c r="F413" s="609"/>
      <c r="G413" s="609"/>
      <c r="H413" s="609"/>
      <c r="I413" s="609"/>
      <c r="J413" s="609"/>
      <c r="K413" s="609"/>
      <c r="M413" s="453"/>
      <c r="N413" s="453"/>
      <c r="O413" s="453"/>
      <c r="P413" s="453"/>
      <c r="Q413" s="453"/>
      <c r="R413" s="453"/>
      <c r="S413" s="453"/>
      <c r="T413" s="453"/>
      <c r="U413" s="453"/>
      <c r="V413" s="453"/>
      <c r="W413" s="453"/>
      <c r="X413" s="453"/>
      <c r="Y413" s="453"/>
      <c r="Z413" s="453"/>
      <c r="AA413" s="453"/>
    </row>
    <row r="414" spans="1:27" s="583" customFormat="1" x14ac:dyDescent="0.25">
      <c r="A414" s="608"/>
      <c r="B414" s="608"/>
      <c r="C414" s="608"/>
      <c r="D414" s="608"/>
      <c r="E414" s="609"/>
      <c r="F414" s="609"/>
      <c r="G414" s="609"/>
      <c r="H414" s="609"/>
      <c r="I414" s="609"/>
      <c r="J414" s="609"/>
      <c r="K414" s="609"/>
      <c r="M414" s="453"/>
      <c r="N414" s="453"/>
      <c r="O414" s="453"/>
      <c r="P414" s="453"/>
      <c r="Q414" s="453"/>
      <c r="R414" s="453"/>
      <c r="S414" s="453"/>
      <c r="T414" s="453"/>
      <c r="U414" s="453"/>
      <c r="V414" s="453"/>
      <c r="W414" s="453"/>
      <c r="X414" s="453"/>
      <c r="Y414" s="453"/>
      <c r="Z414" s="453"/>
      <c r="AA414" s="453"/>
    </row>
    <row r="415" spans="1:27" s="583" customFormat="1" x14ac:dyDescent="0.25">
      <c r="A415" s="608"/>
      <c r="B415" s="608"/>
      <c r="C415" s="608"/>
      <c r="D415" s="608"/>
      <c r="E415" s="609"/>
      <c r="F415" s="609"/>
      <c r="G415" s="609"/>
      <c r="H415" s="609"/>
      <c r="I415" s="609"/>
      <c r="J415" s="609"/>
      <c r="K415" s="609"/>
      <c r="M415" s="453"/>
      <c r="N415" s="453"/>
      <c r="O415" s="453"/>
      <c r="P415" s="453"/>
      <c r="Q415" s="453"/>
      <c r="R415" s="453"/>
      <c r="S415" s="453"/>
      <c r="T415" s="453"/>
      <c r="U415" s="453"/>
      <c r="V415" s="453"/>
      <c r="W415" s="453"/>
      <c r="X415" s="453"/>
      <c r="Y415" s="453"/>
      <c r="Z415" s="453"/>
      <c r="AA415" s="453"/>
    </row>
    <row r="416" spans="1:27" s="583" customFormat="1" x14ac:dyDescent="0.25">
      <c r="A416" s="608"/>
      <c r="B416" s="608"/>
      <c r="C416" s="608"/>
      <c r="D416" s="608"/>
      <c r="E416" s="609"/>
      <c r="F416" s="609"/>
      <c r="G416" s="609"/>
      <c r="H416" s="609"/>
      <c r="I416" s="609"/>
      <c r="J416" s="609"/>
      <c r="K416" s="609"/>
      <c r="M416" s="453"/>
      <c r="N416" s="453"/>
      <c r="O416" s="453"/>
      <c r="P416" s="453"/>
      <c r="Q416" s="453"/>
      <c r="R416" s="453"/>
      <c r="S416" s="453"/>
      <c r="T416" s="453"/>
      <c r="U416" s="453"/>
      <c r="V416" s="453"/>
      <c r="W416" s="453"/>
      <c r="X416" s="453"/>
      <c r="Y416" s="453"/>
      <c r="Z416" s="453"/>
      <c r="AA416" s="453"/>
    </row>
    <row r="417" spans="1:27" s="583" customFormat="1" x14ac:dyDescent="0.25">
      <c r="A417" s="608"/>
      <c r="B417" s="608"/>
      <c r="C417" s="608"/>
      <c r="D417" s="608"/>
      <c r="E417" s="609"/>
      <c r="F417" s="609"/>
      <c r="G417" s="609"/>
      <c r="H417" s="609"/>
      <c r="I417" s="609"/>
      <c r="J417" s="609"/>
      <c r="K417" s="609"/>
      <c r="M417" s="453"/>
      <c r="N417" s="453"/>
      <c r="O417" s="453"/>
      <c r="P417" s="453"/>
      <c r="Q417" s="453"/>
      <c r="R417" s="453"/>
      <c r="S417" s="453"/>
      <c r="T417" s="453"/>
      <c r="U417" s="453"/>
      <c r="V417" s="453"/>
      <c r="W417" s="453"/>
      <c r="X417" s="453"/>
      <c r="Y417" s="453"/>
      <c r="Z417" s="453"/>
      <c r="AA417" s="453"/>
    </row>
    <row r="418" spans="1:27" s="583" customFormat="1" x14ac:dyDescent="0.25">
      <c r="A418" s="608"/>
      <c r="B418" s="608"/>
      <c r="C418" s="608"/>
      <c r="D418" s="608"/>
      <c r="E418" s="609"/>
      <c r="F418" s="609"/>
      <c r="G418" s="609"/>
      <c r="H418" s="609"/>
      <c r="I418" s="609"/>
      <c r="J418" s="609"/>
      <c r="K418" s="609"/>
      <c r="M418" s="453"/>
      <c r="N418" s="453"/>
      <c r="O418" s="453"/>
      <c r="P418" s="453"/>
      <c r="Q418" s="453"/>
      <c r="R418" s="453"/>
      <c r="S418" s="453"/>
      <c r="T418" s="453"/>
      <c r="U418" s="453"/>
      <c r="V418" s="453"/>
      <c r="W418" s="453"/>
      <c r="X418" s="453"/>
      <c r="Y418" s="453"/>
      <c r="Z418" s="453"/>
      <c r="AA418" s="453"/>
    </row>
    <row r="419" spans="1:27" s="583" customFormat="1" x14ac:dyDescent="0.25">
      <c r="A419" s="608"/>
      <c r="B419" s="608"/>
      <c r="C419" s="608"/>
      <c r="D419" s="608"/>
      <c r="E419" s="609"/>
      <c r="F419" s="609"/>
      <c r="G419" s="609"/>
      <c r="H419" s="609"/>
      <c r="I419" s="609"/>
      <c r="J419" s="609"/>
      <c r="K419" s="609"/>
      <c r="M419" s="453"/>
      <c r="N419" s="453"/>
      <c r="O419" s="453"/>
      <c r="P419" s="453"/>
      <c r="Q419" s="453"/>
      <c r="R419" s="453"/>
      <c r="S419" s="453"/>
      <c r="T419" s="453"/>
      <c r="U419" s="453"/>
      <c r="V419" s="453"/>
      <c r="W419" s="453"/>
      <c r="X419" s="453"/>
      <c r="Y419" s="453"/>
      <c r="Z419" s="453"/>
      <c r="AA419" s="453"/>
    </row>
    <row r="420" spans="1:27" s="583" customFormat="1" x14ac:dyDescent="0.25">
      <c r="A420" s="608"/>
      <c r="B420" s="608"/>
      <c r="C420" s="608"/>
      <c r="D420" s="608"/>
      <c r="E420" s="609"/>
      <c r="F420" s="609"/>
      <c r="G420" s="609"/>
      <c r="H420" s="609"/>
      <c r="I420" s="609"/>
      <c r="J420" s="609"/>
      <c r="K420" s="609"/>
      <c r="M420" s="453"/>
      <c r="N420" s="453"/>
      <c r="O420" s="453"/>
      <c r="P420" s="453"/>
      <c r="Q420" s="453"/>
      <c r="R420" s="453"/>
      <c r="S420" s="453"/>
      <c r="T420" s="453"/>
      <c r="U420" s="453"/>
      <c r="V420" s="453"/>
      <c r="W420" s="453"/>
      <c r="X420" s="453"/>
      <c r="Y420" s="453"/>
      <c r="Z420" s="453"/>
      <c r="AA420" s="453"/>
    </row>
    <row r="421" spans="1:27" s="583" customFormat="1" x14ac:dyDescent="0.25">
      <c r="A421" s="608"/>
      <c r="B421" s="608"/>
      <c r="C421" s="608"/>
      <c r="D421" s="608"/>
      <c r="E421" s="609"/>
      <c r="F421" s="609"/>
      <c r="G421" s="609"/>
      <c r="H421" s="609"/>
      <c r="I421" s="609"/>
      <c r="J421" s="609"/>
      <c r="K421" s="609"/>
      <c r="M421" s="453"/>
      <c r="N421" s="453"/>
      <c r="O421" s="453"/>
      <c r="P421" s="453"/>
      <c r="Q421" s="453"/>
      <c r="R421" s="453"/>
      <c r="S421" s="453"/>
      <c r="T421" s="453"/>
      <c r="U421" s="453"/>
      <c r="V421" s="453"/>
      <c r="W421" s="453"/>
      <c r="X421" s="453"/>
      <c r="Y421" s="453"/>
      <c r="Z421" s="453"/>
      <c r="AA421" s="453"/>
    </row>
    <row r="422" spans="1:27" s="583" customFormat="1" x14ac:dyDescent="0.25">
      <c r="A422" s="608"/>
      <c r="B422" s="608"/>
      <c r="C422" s="608"/>
      <c r="D422" s="608"/>
      <c r="E422" s="609"/>
      <c r="F422" s="609"/>
      <c r="G422" s="609"/>
      <c r="H422" s="609"/>
      <c r="I422" s="609"/>
      <c r="J422" s="609"/>
      <c r="K422" s="609"/>
      <c r="M422" s="453"/>
      <c r="N422" s="453"/>
      <c r="O422" s="453"/>
      <c r="P422" s="453"/>
      <c r="Q422" s="453"/>
      <c r="R422" s="453"/>
      <c r="S422" s="453"/>
      <c r="T422" s="453"/>
      <c r="U422" s="453"/>
      <c r="V422" s="453"/>
      <c r="W422" s="453"/>
      <c r="X422" s="453"/>
      <c r="Y422" s="453"/>
      <c r="Z422" s="453"/>
      <c r="AA422" s="453"/>
    </row>
    <row r="423" spans="1:27" s="583" customFormat="1" x14ac:dyDescent="0.25">
      <c r="A423" s="608"/>
      <c r="B423" s="608"/>
      <c r="C423" s="608"/>
      <c r="D423" s="608"/>
      <c r="E423" s="609"/>
      <c r="F423" s="609"/>
      <c r="G423" s="609"/>
      <c r="H423" s="609"/>
      <c r="I423" s="609"/>
      <c r="J423" s="609"/>
      <c r="K423" s="609"/>
      <c r="M423" s="453"/>
      <c r="N423" s="453"/>
      <c r="O423" s="453"/>
      <c r="P423" s="453"/>
      <c r="Q423" s="453"/>
      <c r="R423" s="453"/>
      <c r="S423" s="453"/>
      <c r="T423" s="453"/>
      <c r="U423" s="453"/>
      <c r="V423" s="453"/>
      <c r="W423" s="453"/>
      <c r="X423" s="453"/>
      <c r="Y423" s="453"/>
      <c r="Z423" s="453"/>
      <c r="AA423" s="453"/>
    </row>
    <row r="424" spans="1:27" s="583" customFormat="1" x14ac:dyDescent="0.25">
      <c r="A424" s="608"/>
      <c r="B424" s="608"/>
      <c r="C424" s="608"/>
      <c r="D424" s="608"/>
      <c r="E424" s="609"/>
      <c r="F424" s="609"/>
      <c r="G424" s="609"/>
      <c r="H424" s="609"/>
      <c r="I424" s="609"/>
      <c r="J424" s="609"/>
      <c r="K424" s="609"/>
      <c r="M424" s="453"/>
      <c r="N424" s="453"/>
      <c r="O424" s="453"/>
      <c r="P424" s="453"/>
      <c r="Q424" s="453"/>
      <c r="R424" s="453"/>
      <c r="S424" s="453"/>
      <c r="T424" s="453"/>
      <c r="U424" s="453"/>
      <c r="V424" s="453"/>
      <c r="W424" s="453"/>
      <c r="X424" s="453"/>
      <c r="Y424" s="453"/>
      <c r="Z424" s="453"/>
      <c r="AA424" s="453"/>
    </row>
    <row r="425" spans="1:27" s="583" customFormat="1" x14ac:dyDescent="0.25">
      <c r="A425" s="608"/>
      <c r="B425" s="608"/>
      <c r="C425" s="608"/>
      <c r="D425" s="608"/>
      <c r="E425" s="609"/>
      <c r="F425" s="609"/>
      <c r="G425" s="609"/>
      <c r="H425" s="609"/>
      <c r="I425" s="609"/>
      <c r="J425" s="609"/>
      <c r="K425" s="609"/>
      <c r="M425" s="453"/>
      <c r="N425" s="453"/>
      <c r="O425" s="453"/>
      <c r="P425" s="453"/>
      <c r="Q425" s="453"/>
      <c r="R425" s="453"/>
      <c r="S425" s="453"/>
      <c r="T425" s="453"/>
      <c r="U425" s="453"/>
      <c r="V425" s="453"/>
      <c r="W425" s="453"/>
      <c r="X425" s="453"/>
      <c r="Y425" s="453"/>
      <c r="Z425" s="453"/>
      <c r="AA425" s="453"/>
    </row>
    <row r="426" spans="1:27" s="583" customFormat="1" x14ac:dyDescent="0.25">
      <c r="A426" s="608"/>
      <c r="B426" s="608"/>
      <c r="C426" s="608"/>
      <c r="D426" s="608"/>
      <c r="E426" s="609"/>
      <c r="F426" s="609"/>
      <c r="G426" s="609"/>
      <c r="H426" s="609"/>
      <c r="I426" s="609"/>
      <c r="J426" s="609"/>
      <c r="K426" s="609"/>
      <c r="M426" s="453"/>
      <c r="N426" s="453"/>
      <c r="O426" s="453"/>
      <c r="P426" s="453"/>
      <c r="Q426" s="453"/>
      <c r="R426" s="453"/>
      <c r="S426" s="453"/>
      <c r="T426" s="453"/>
      <c r="U426" s="453"/>
      <c r="V426" s="453"/>
      <c r="W426" s="453"/>
      <c r="X426" s="453"/>
      <c r="Y426" s="453"/>
      <c r="Z426" s="453"/>
      <c r="AA426" s="453"/>
    </row>
    <row r="427" spans="1:27" s="583" customFormat="1" x14ac:dyDescent="0.25">
      <c r="A427" s="608"/>
      <c r="B427" s="608"/>
      <c r="C427" s="608"/>
      <c r="D427" s="608"/>
      <c r="E427" s="609"/>
      <c r="F427" s="609"/>
      <c r="G427" s="609"/>
      <c r="H427" s="609"/>
      <c r="I427" s="609"/>
      <c r="J427" s="609"/>
      <c r="K427" s="609"/>
      <c r="M427" s="453"/>
      <c r="N427" s="453"/>
      <c r="O427" s="453"/>
      <c r="P427" s="453"/>
      <c r="Q427" s="453"/>
      <c r="R427" s="453"/>
      <c r="S427" s="453"/>
      <c r="T427" s="453"/>
      <c r="U427" s="453"/>
      <c r="V427" s="453"/>
      <c r="W427" s="453"/>
      <c r="X427" s="453"/>
      <c r="Y427" s="453"/>
      <c r="Z427" s="453"/>
      <c r="AA427" s="453"/>
    </row>
    <row r="428" spans="1:27" s="583" customFormat="1" x14ac:dyDescent="0.25">
      <c r="A428" s="608"/>
      <c r="B428" s="608"/>
      <c r="C428" s="608"/>
      <c r="D428" s="608"/>
      <c r="E428" s="609"/>
      <c r="F428" s="609"/>
      <c r="G428" s="609"/>
      <c r="H428" s="609"/>
      <c r="I428" s="609"/>
      <c r="J428" s="609"/>
      <c r="K428" s="609"/>
      <c r="M428" s="453"/>
      <c r="N428" s="453"/>
      <c r="O428" s="453"/>
      <c r="P428" s="453"/>
      <c r="Q428" s="453"/>
      <c r="R428" s="453"/>
      <c r="S428" s="453"/>
      <c r="T428" s="453"/>
      <c r="U428" s="453"/>
      <c r="V428" s="453"/>
      <c r="W428" s="453"/>
      <c r="X428" s="453"/>
      <c r="Y428" s="453"/>
      <c r="Z428" s="453"/>
      <c r="AA428" s="453"/>
    </row>
    <row r="429" spans="1:27" s="583" customFormat="1" x14ac:dyDescent="0.25">
      <c r="A429" s="608"/>
      <c r="B429" s="608"/>
      <c r="C429" s="608"/>
      <c r="D429" s="608"/>
      <c r="E429" s="609"/>
      <c r="F429" s="609"/>
      <c r="G429" s="609"/>
      <c r="H429" s="609"/>
      <c r="I429" s="609"/>
      <c r="J429" s="609"/>
      <c r="K429" s="609"/>
      <c r="M429" s="453"/>
      <c r="N429" s="453"/>
      <c r="O429" s="453"/>
      <c r="P429" s="453"/>
      <c r="Q429" s="453"/>
      <c r="R429" s="453"/>
      <c r="S429" s="453"/>
      <c r="T429" s="453"/>
      <c r="U429" s="453"/>
      <c r="V429" s="453"/>
      <c r="W429" s="453"/>
      <c r="X429" s="453"/>
      <c r="Y429" s="453"/>
      <c r="Z429" s="453"/>
      <c r="AA429" s="453"/>
    </row>
    <row r="430" spans="1:27" s="583" customFormat="1" x14ac:dyDescent="0.25">
      <c r="A430" s="608"/>
      <c r="B430" s="608"/>
      <c r="C430" s="608"/>
      <c r="D430" s="608"/>
      <c r="E430" s="609"/>
      <c r="F430" s="609"/>
      <c r="G430" s="609"/>
      <c r="H430" s="609"/>
      <c r="I430" s="609"/>
      <c r="J430" s="609"/>
      <c r="K430" s="609"/>
      <c r="M430" s="453"/>
      <c r="N430" s="453"/>
      <c r="O430" s="453"/>
      <c r="P430" s="453"/>
      <c r="Q430" s="453"/>
      <c r="R430" s="453"/>
      <c r="S430" s="453"/>
      <c r="T430" s="453"/>
      <c r="U430" s="453"/>
      <c r="V430" s="453"/>
      <c r="W430" s="453"/>
      <c r="X430" s="453"/>
      <c r="Y430" s="453"/>
      <c r="Z430" s="453"/>
      <c r="AA430" s="453"/>
    </row>
    <row r="431" spans="1:27" s="583" customFormat="1" x14ac:dyDescent="0.25">
      <c r="A431" s="608"/>
      <c r="B431" s="608"/>
      <c r="C431" s="608"/>
      <c r="D431" s="608"/>
      <c r="E431" s="609"/>
      <c r="F431" s="609"/>
      <c r="G431" s="609"/>
      <c r="H431" s="609"/>
      <c r="I431" s="609"/>
      <c r="J431" s="609"/>
      <c r="K431" s="609"/>
      <c r="M431" s="453"/>
      <c r="N431" s="453"/>
      <c r="O431" s="453"/>
      <c r="P431" s="453"/>
      <c r="Q431" s="453"/>
      <c r="R431" s="453"/>
      <c r="S431" s="453"/>
      <c r="T431" s="453"/>
      <c r="U431" s="453"/>
      <c r="V431" s="453"/>
      <c r="W431" s="453"/>
      <c r="X431" s="453"/>
      <c r="Y431" s="453"/>
      <c r="Z431" s="453"/>
      <c r="AA431" s="453"/>
    </row>
    <row r="432" spans="1:27" s="583" customFormat="1" x14ac:dyDescent="0.25">
      <c r="A432" s="608"/>
      <c r="B432" s="608"/>
      <c r="C432" s="608"/>
      <c r="D432" s="608"/>
      <c r="E432" s="609"/>
      <c r="F432" s="609"/>
      <c r="G432" s="609"/>
      <c r="H432" s="609"/>
      <c r="I432" s="609"/>
      <c r="J432" s="609"/>
      <c r="K432" s="609"/>
      <c r="M432" s="453"/>
      <c r="N432" s="453"/>
      <c r="O432" s="453"/>
      <c r="P432" s="453"/>
      <c r="Q432" s="453"/>
      <c r="R432" s="453"/>
      <c r="S432" s="453"/>
      <c r="T432" s="453"/>
      <c r="U432" s="453"/>
      <c r="V432" s="453"/>
      <c r="W432" s="453"/>
      <c r="X432" s="453"/>
      <c r="Y432" s="453"/>
      <c r="Z432" s="453"/>
      <c r="AA432" s="453"/>
    </row>
    <row r="433" spans="1:27" s="583" customFormat="1" x14ac:dyDescent="0.25">
      <c r="A433" s="608"/>
      <c r="B433" s="608"/>
      <c r="C433" s="608"/>
      <c r="D433" s="608"/>
      <c r="E433" s="609"/>
      <c r="F433" s="609"/>
      <c r="G433" s="609"/>
      <c r="H433" s="609"/>
      <c r="I433" s="609"/>
      <c r="J433" s="609"/>
      <c r="K433" s="609"/>
      <c r="M433" s="453"/>
      <c r="N433" s="453"/>
      <c r="O433" s="453"/>
      <c r="P433" s="453"/>
      <c r="Q433" s="453"/>
      <c r="R433" s="453"/>
      <c r="S433" s="453"/>
      <c r="T433" s="453"/>
      <c r="U433" s="453"/>
      <c r="V433" s="453"/>
      <c r="W433" s="453"/>
      <c r="X433" s="453"/>
      <c r="Y433" s="453"/>
      <c r="Z433" s="453"/>
      <c r="AA433" s="453"/>
    </row>
    <row r="434" spans="1:27" s="583" customFormat="1" x14ac:dyDescent="0.25">
      <c r="A434" s="608"/>
      <c r="B434" s="608"/>
      <c r="C434" s="608"/>
      <c r="D434" s="608"/>
      <c r="E434" s="609"/>
      <c r="F434" s="609"/>
      <c r="G434" s="609"/>
      <c r="H434" s="609"/>
      <c r="I434" s="609"/>
      <c r="J434" s="609"/>
      <c r="K434" s="609"/>
      <c r="M434" s="453"/>
      <c r="N434" s="453"/>
      <c r="O434" s="453"/>
      <c r="P434" s="453"/>
      <c r="Q434" s="453"/>
      <c r="R434" s="453"/>
      <c r="S434" s="453"/>
      <c r="T434" s="453"/>
      <c r="U434" s="453"/>
      <c r="V434" s="453"/>
      <c r="W434" s="453"/>
      <c r="X434" s="453"/>
      <c r="Y434" s="453"/>
      <c r="Z434" s="453"/>
      <c r="AA434" s="453"/>
    </row>
    <row r="435" spans="1:27" s="583" customFormat="1" x14ac:dyDescent="0.25">
      <c r="A435" s="608"/>
      <c r="B435" s="608"/>
      <c r="C435" s="608"/>
      <c r="D435" s="608"/>
      <c r="E435" s="609"/>
      <c r="F435" s="609"/>
      <c r="G435" s="609"/>
      <c r="H435" s="609"/>
      <c r="I435" s="609"/>
      <c r="J435" s="609"/>
      <c r="K435" s="609"/>
      <c r="M435" s="453"/>
      <c r="N435" s="453"/>
      <c r="O435" s="453"/>
      <c r="P435" s="453"/>
      <c r="Q435" s="453"/>
      <c r="R435" s="453"/>
      <c r="S435" s="453"/>
      <c r="T435" s="453"/>
      <c r="U435" s="453"/>
      <c r="V435" s="453"/>
      <c r="W435" s="453"/>
      <c r="X435" s="453"/>
      <c r="Y435" s="453"/>
      <c r="Z435" s="453"/>
      <c r="AA435" s="453"/>
    </row>
    <row r="436" spans="1:27" s="583" customFormat="1" x14ac:dyDescent="0.25">
      <c r="A436" s="608"/>
      <c r="B436" s="608"/>
      <c r="C436" s="608"/>
      <c r="D436" s="608"/>
      <c r="E436" s="609"/>
      <c r="F436" s="609"/>
      <c r="G436" s="609"/>
      <c r="H436" s="609"/>
      <c r="I436" s="609"/>
      <c r="J436" s="609"/>
      <c r="K436" s="609"/>
      <c r="M436" s="453"/>
      <c r="N436" s="453"/>
      <c r="O436" s="453"/>
      <c r="P436" s="453"/>
      <c r="Q436" s="453"/>
      <c r="R436" s="453"/>
      <c r="S436" s="453"/>
      <c r="T436" s="453"/>
      <c r="U436" s="453"/>
      <c r="V436" s="453"/>
      <c r="W436" s="453"/>
      <c r="X436" s="453"/>
      <c r="Y436" s="453"/>
      <c r="Z436" s="453"/>
      <c r="AA436" s="453"/>
    </row>
    <row r="437" spans="1:27" s="583" customFormat="1" x14ac:dyDescent="0.25">
      <c r="A437" s="608"/>
      <c r="B437" s="608"/>
      <c r="C437" s="608"/>
      <c r="D437" s="608"/>
      <c r="E437" s="609"/>
      <c r="F437" s="609"/>
      <c r="G437" s="609"/>
      <c r="H437" s="609"/>
      <c r="I437" s="609"/>
      <c r="J437" s="609"/>
      <c r="K437" s="609"/>
      <c r="M437" s="453"/>
      <c r="N437" s="453"/>
      <c r="O437" s="453"/>
      <c r="P437" s="453"/>
      <c r="Q437" s="453"/>
      <c r="R437" s="453"/>
      <c r="S437" s="453"/>
      <c r="T437" s="453"/>
      <c r="U437" s="453"/>
      <c r="V437" s="453"/>
      <c r="W437" s="453"/>
      <c r="X437" s="453"/>
      <c r="Y437" s="453"/>
      <c r="Z437" s="453"/>
      <c r="AA437" s="453"/>
    </row>
    <row r="438" spans="1:27" s="583" customFormat="1" x14ac:dyDescent="0.25">
      <c r="A438" s="608"/>
      <c r="B438" s="608"/>
      <c r="C438" s="608"/>
      <c r="D438" s="608"/>
      <c r="E438" s="609"/>
      <c r="F438" s="609"/>
      <c r="G438" s="609"/>
      <c r="H438" s="609"/>
      <c r="I438" s="609"/>
      <c r="J438" s="609"/>
      <c r="K438" s="609"/>
      <c r="M438" s="453"/>
      <c r="N438" s="453"/>
      <c r="O438" s="453"/>
      <c r="P438" s="453"/>
      <c r="Q438" s="453"/>
      <c r="R438" s="453"/>
      <c r="S438" s="453"/>
      <c r="T438" s="453"/>
      <c r="U438" s="453"/>
      <c r="V438" s="453"/>
      <c r="W438" s="453"/>
      <c r="X438" s="453"/>
      <c r="Y438" s="453"/>
      <c r="Z438" s="453"/>
      <c r="AA438" s="453"/>
    </row>
    <row r="439" spans="1:27" s="583" customFormat="1" x14ac:dyDescent="0.25">
      <c r="A439" s="608"/>
      <c r="B439" s="608"/>
      <c r="C439" s="608"/>
      <c r="D439" s="608"/>
      <c r="E439" s="609"/>
      <c r="F439" s="609"/>
      <c r="G439" s="609"/>
      <c r="H439" s="609"/>
      <c r="I439" s="609"/>
      <c r="J439" s="609"/>
      <c r="K439" s="609"/>
      <c r="M439" s="453"/>
      <c r="N439" s="453"/>
      <c r="O439" s="453"/>
      <c r="P439" s="453"/>
      <c r="Q439" s="453"/>
      <c r="R439" s="453"/>
      <c r="S439" s="453"/>
      <c r="T439" s="453"/>
      <c r="U439" s="453"/>
      <c r="V439" s="453"/>
      <c r="W439" s="453"/>
      <c r="X439" s="453"/>
      <c r="Y439" s="453"/>
      <c r="Z439" s="453"/>
      <c r="AA439" s="453"/>
    </row>
    <row r="440" spans="1:27" s="583" customFormat="1" x14ac:dyDescent="0.25">
      <c r="A440" s="608"/>
      <c r="B440" s="608"/>
      <c r="C440" s="608"/>
      <c r="D440" s="608"/>
      <c r="E440" s="609"/>
      <c r="F440" s="609"/>
      <c r="G440" s="609"/>
      <c r="H440" s="609"/>
      <c r="I440" s="609"/>
      <c r="J440" s="609"/>
      <c r="K440" s="609"/>
      <c r="M440" s="453"/>
      <c r="N440" s="453"/>
      <c r="O440" s="453"/>
      <c r="P440" s="453"/>
      <c r="Q440" s="453"/>
      <c r="R440" s="453"/>
      <c r="S440" s="453"/>
      <c r="T440" s="453"/>
      <c r="U440" s="453"/>
      <c r="V440" s="453"/>
      <c r="W440" s="453"/>
      <c r="X440" s="453"/>
      <c r="Y440" s="453"/>
      <c r="Z440" s="453"/>
      <c r="AA440" s="453"/>
    </row>
    <row r="441" spans="1:27" s="583" customFormat="1" x14ac:dyDescent="0.25">
      <c r="A441" s="608"/>
      <c r="B441" s="608"/>
      <c r="C441" s="608"/>
      <c r="D441" s="608"/>
      <c r="E441" s="609"/>
      <c r="F441" s="609"/>
      <c r="G441" s="609"/>
      <c r="H441" s="609"/>
      <c r="I441" s="609"/>
      <c r="J441" s="609"/>
      <c r="K441" s="609"/>
      <c r="M441" s="453"/>
      <c r="N441" s="453"/>
      <c r="O441" s="453"/>
      <c r="P441" s="453"/>
      <c r="Q441" s="453"/>
      <c r="R441" s="453"/>
      <c r="S441" s="453"/>
      <c r="T441" s="453"/>
      <c r="U441" s="453"/>
      <c r="V441" s="453"/>
      <c r="W441" s="453"/>
      <c r="X441" s="453"/>
      <c r="Y441" s="453"/>
      <c r="Z441" s="453"/>
      <c r="AA441" s="453"/>
    </row>
    <row r="442" spans="1:27" s="583" customFormat="1" x14ac:dyDescent="0.25">
      <c r="A442" s="608"/>
      <c r="B442" s="608"/>
      <c r="C442" s="608"/>
      <c r="D442" s="608"/>
      <c r="E442" s="609"/>
      <c r="F442" s="609"/>
      <c r="G442" s="609"/>
      <c r="H442" s="609"/>
      <c r="I442" s="609"/>
      <c r="J442" s="609"/>
      <c r="K442" s="609"/>
      <c r="M442" s="453"/>
      <c r="N442" s="453"/>
      <c r="O442" s="453"/>
      <c r="P442" s="453"/>
      <c r="Q442" s="453"/>
      <c r="R442" s="453"/>
      <c r="S442" s="453"/>
      <c r="T442" s="453"/>
      <c r="U442" s="453"/>
      <c r="V442" s="453"/>
      <c r="W442" s="453"/>
      <c r="X442" s="453"/>
      <c r="Y442" s="453"/>
      <c r="Z442" s="453"/>
      <c r="AA442" s="453"/>
    </row>
    <row r="443" spans="1:27" s="583" customFormat="1" x14ac:dyDescent="0.25">
      <c r="A443" s="608"/>
      <c r="B443" s="608"/>
      <c r="C443" s="608"/>
      <c r="D443" s="608"/>
      <c r="E443" s="609"/>
      <c r="F443" s="609"/>
      <c r="G443" s="609"/>
      <c r="H443" s="609"/>
      <c r="I443" s="609"/>
      <c r="J443" s="609"/>
      <c r="K443" s="609"/>
      <c r="M443" s="453"/>
      <c r="N443" s="453"/>
      <c r="O443" s="453"/>
      <c r="P443" s="453"/>
      <c r="Q443" s="453"/>
      <c r="R443" s="453"/>
      <c r="S443" s="453"/>
      <c r="T443" s="453"/>
      <c r="U443" s="453"/>
      <c r="V443" s="453"/>
      <c r="W443" s="453"/>
      <c r="X443" s="453"/>
      <c r="Y443" s="453"/>
      <c r="Z443" s="453"/>
      <c r="AA443" s="453"/>
    </row>
    <row r="444" spans="1:27" s="583" customFormat="1" x14ac:dyDescent="0.25">
      <c r="A444" s="608"/>
      <c r="B444" s="608"/>
      <c r="C444" s="608"/>
      <c r="D444" s="608"/>
      <c r="E444" s="609"/>
      <c r="F444" s="609"/>
      <c r="G444" s="609"/>
      <c r="H444" s="609"/>
      <c r="I444" s="609"/>
      <c r="J444" s="609"/>
      <c r="K444" s="609"/>
      <c r="M444" s="453"/>
      <c r="N444" s="453"/>
      <c r="O444" s="453"/>
      <c r="P444" s="453"/>
      <c r="Q444" s="453"/>
      <c r="R444" s="453"/>
      <c r="S444" s="453"/>
      <c r="T444" s="453"/>
      <c r="U444" s="453"/>
      <c r="V444" s="453"/>
      <c r="W444" s="453"/>
      <c r="X444" s="453"/>
      <c r="Y444" s="453"/>
      <c r="Z444" s="453"/>
      <c r="AA444" s="453"/>
    </row>
    <row r="445" spans="1:27" s="583" customFormat="1" x14ac:dyDescent="0.25">
      <c r="A445" s="608"/>
      <c r="B445" s="608"/>
      <c r="C445" s="608"/>
      <c r="D445" s="608"/>
      <c r="E445" s="609"/>
      <c r="F445" s="609"/>
      <c r="G445" s="609"/>
      <c r="H445" s="609"/>
      <c r="I445" s="609"/>
      <c r="J445" s="609"/>
      <c r="K445" s="609"/>
      <c r="M445" s="453"/>
      <c r="N445" s="453"/>
      <c r="O445" s="453"/>
      <c r="P445" s="453"/>
      <c r="Q445" s="453"/>
      <c r="R445" s="453"/>
      <c r="S445" s="453"/>
      <c r="T445" s="453"/>
      <c r="U445" s="453"/>
      <c r="V445" s="453"/>
      <c r="W445" s="453"/>
      <c r="X445" s="453"/>
      <c r="Y445" s="453"/>
      <c r="Z445" s="453"/>
      <c r="AA445" s="453"/>
    </row>
    <row r="446" spans="1:27" s="583" customFormat="1" x14ac:dyDescent="0.25">
      <c r="A446" s="608"/>
      <c r="B446" s="608"/>
      <c r="C446" s="608"/>
      <c r="D446" s="608"/>
      <c r="E446" s="609"/>
      <c r="F446" s="609"/>
      <c r="G446" s="609"/>
      <c r="H446" s="609"/>
      <c r="I446" s="609"/>
      <c r="J446" s="609"/>
      <c r="K446" s="609"/>
      <c r="M446" s="453"/>
      <c r="N446" s="453"/>
      <c r="O446" s="453"/>
      <c r="P446" s="453"/>
      <c r="Q446" s="453"/>
      <c r="R446" s="453"/>
      <c r="S446" s="453"/>
      <c r="T446" s="453"/>
      <c r="U446" s="453"/>
      <c r="V446" s="453"/>
      <c r="W446" s="453"/>
      <c r="X446" s="453"/>
      <c r="Y446" s="453"/>
      <c r="Z446" s="453"/>
      <c r="AA446" s="453"/>
    </row>
    <row r="447" spans="1:27" s="583" customFormat="1" x14ac:dyDescent="0.25">
      <c r="A447" s="608"/>
      <c r="B447" s="608"/>
      <c r="C447" s="608"/>
      <c r="D447" s="608"/>
      <c r="E447" s="609"/>
      <c r="F447" s="609"/>
      <c r="G447" s="609"/>
      <c r="H447" s="609"/>
      <c r="I447" s="609"/>
      <c r="J447" s="609"/>
      <c r="K447" s="609"/>
      <c r="M447" s="453"/>
      <c r="N447" s="453"/>
      <c r="O447" s="453"/>
      <c r="P447" s="453"/>
      <c r="Q447" s="453"/>
      <c r="R447" s="453"/>
      <c r="S447" s="453"/>
      <c r="T447" s="453"/>
      <c r="U447" s="453"/>
      <c r="V447" s="453"/>
      <c r="W447" s="453"/>
      <c r="X447" s="453"/>
      <c r="Y447" s="453"/>
      <c r="Z447" s="453"/>
      <c r="AA447" s="453"/>
    </row>
    <row r="448" spans="1:27" s="583" customFormat="1" x14ac:dyDescent="0.25">
      <c r="A448" s="608"/>
      <c r="B448" s="608"/>
      <c r="C448" s="608"/>
      <c r="D448" s="608"/>
      <c r="E448" s="609"/>
      <c r="F448" s="609"/>
      <c r="G448" s="609"/>
      <c r="H448" s="609"/>
      <c r="I448" s="609"/>
      <c r="J448" s="609"/>
      <c r="K448" s="609"/>
      <c r="M448" s="453"/>
      <c r="N448" s="453"/>
      <c r="O448" s="453"/>
      <c r="P448" s="453"/>
      <c r="Q448" s="453"/>
      <c r="R448" s="453"/>
      <c r="S448" s="453"/>
      <c r="T448" s="453"/>
      <c r="U448" s="453"/>
      <c r="V448" s="453"/>
      <c r="W448" s="453"/>
      <c r="X448" s="453"/>
      <c r="Y448" s="453"/>
      <c r="Z448" s="453"/>
      <c r="AA448" s="453"/>
    </row>
    <row r="449" spans="1:27" s="583" customFormat="1" x14ac:dyDescent="0.25">
      <c r="A449" s="608"/>
      <c r="B449" s="608"/>
      <c r="C449" s="608"/>
      <c r="D449" s="608"/>
      <c r="E449" s="609"/>
      <c r="F449" s="609"/>
      <c r="G449" s="609"/>
      <c r="H449" s="609"/>
      <c r="I449" s="609"/>
      <c r="J449" s="609"/>
      <c r="K449" s="609"/>
      <c r="M449" s="453"/>
      <c r="N449" s="453"/>
      <c r="O449" s="453"/>
      <c r="P449" s="453"/>
      <c r="Q449" s="453"/>
      <c r="R449" s="453"/>
      <c r="S449" s="453"/>
      <c r="T449" s="453"/>
      <c r="U449" s="453"/>
      <c r="V449" s="453"/>
      <c r="W449" s="453"/>
      <c r="X449" s="453"/>
      <c r="Y449" s="453"/>
      <c r="Z449" s="453"/>
      <c r="AA449" s="453"/>
    </row>
    <row r="450" spans="1:27" s="583" customFormat="1" x14ac:dyDescent="0.25">
      <c r="A450" s="608"/>
      <c r="B450" s="608"/>
      <c r="C450" s="608"/>
      <c r="D450" s="608"/>
      <c r="E450" s="609"/>
      <c r="F450" s="609"/>
      <c r="G450" s="609"/>
      <c r="H450" s="609"/>
      <c r="I450" s="609"/>
      <c r="J450" s="609"/>
      <c r="K450" s="609"/>
      <c r="M450" s="453"/>
      <c r="N450" s="453"/>
      <c r="O450" s="453"/>
      <c r="P450" s="453"/>
      <c r="Q450" s="453"/>
      <c r="R450" s="453"/>
      <c r="S450" s="453"/>
      <c r="T450" s="453"/>
      <c r="U450" s="453"/>
      <c r="V450" s="453"/>
      <c r="W450" s="453"/>
      <c r="X450" s="453"/>
      <c r="Y450" s="453"/>
      <c r="Z450" s="453"/>
      <c r="AA450" s="453"/>
    </row>
    <row r="451" spans="1:27" s="583" customFormat="1" x14ac:dyDescent="0.25">
      <c r="A451" s="608"/>
      <c r="B451" s="608"/>
      <c r="C451" s="608"/>
      <c r="D451" s="608"/>
      <c r="E451" s="609"/>
      <c r="F451" s="609"/>
      <c r="G451" s="609"/>
      <c r="H451" s="609"/>
      <c r="I451" s="609"/>
      <c r="J451" s="609"/>
      <c r="K451" s="609"/>
      <c r="M451" s="453"/>
      <c r="N451" s="453"/>
      <c r="O451" s="453"/>
      <c r="P451" s="453"/>
      <c r="Q451" s="453"/>
      <c r="R451" s="453"/>
      <c r="S451" s="453"/>
      <c r="T451" s="453"/>
      <c r="U451" s="453"/>
      <c r="V451" s="453"/>
      <c r="W451" s="453"/>
      <c r="X451" s="453"/>
      <c r="Y451" s="453"/>
      <c r="Z451" s="453"/>
      <c r="AA451" s="453"/>
    </row>
    <row r="452" spans="1:27" s="583" customFormat="1" x14ac:dyDescent="0.25">
      <c r="A452" s="608"/>
      <c r="B452" s="608"/>
      <c r="C452" s="608"/>
      <c r="D452" s="608"/>
      <c r="E452" s="609"/>
      <c r="F452" s="609"/>
      <c r="G452" s="609"/>
      <c r="H452" s="609"/>
      <c r="I452" s="609"/>
      <c r="J452" s="609"/>
      <c r="K452" s="609"/>
      <c r="M452" s="453"/>
      <c r="N452" s="453"/>
      <c r="O452" s="453"/>
      <c r="P452" s="453"/>
      <c r="Q452" s="453"/>
      <c r="R452" s="453"/>
      <c r="S452" s="453"/>
      <c r="T452" s="453"/>
      <c r="U452" s="453"/>
      <c r="V452" s="453"/>
      <c r="W452" s="453"/>
      <c r="X452" s="453"/>
      <c r="Y452" s="453"/>
      <c r="Z452" s="453"/>
      <c r="AA452" s="453"/>
    </row>
    <row r="453" spans="1:27" s="583" customFormat="1" x14ac:dyDescent="0.25">
      <c r="A453" s="608"/>
      <c r="B453" s="608"/>
      <c r="C453" s="608"/>
      <c r="D453" s="608"/>
      <c r="E453" s="609"/>
      <c r="F453" s="609"/>
      <c r="G453" s="609"/>
      <c r="H453" s="609"/>
      <c r="I453" s="609"/>
      <c r="J453" s="609"/>
      <c r="K453" s="609"/>
      <c r="M453" s="453"/>
      <c r="N453" s="453"/>
      <c r="O453" s="453"/>
      <c r="P453" s="453"/>
      <c r="Q453" s="453"/>
      <c r="R453" s="453"/>
      <c r="S453" s="453"/>
      <c r="T453" s="453"/>
      <c r="U453" s="453"/>
      <c r="V453" s="453"/>
      <c r="W453" s="453"/>
      <c r="X453" s="453"/>
      <c r="Y453" s="453"/>
      <c r="Z453" s="453"/>
      <c r="AA453" s="453"/>
    </row>
    <row r="454" spans="1:27" s="583" customFormat="1" x14ac:dyDescent="0.25">
      <c r="A454" s="608"/>
      <c r="B454" s="608"/>
      <c r="C454" s="608"/>
      <c r="D454" s="608"/>
      <c r="E454" s="609"/>
      <c r="F454" s="609"/>
      <c r="G454" s="609"/>
      <c r="H454" s="609"/>
      <c r="I454" s="609"/>
      <c r="J454" s="609"/>
      <c r="K454" s="609"/>
      <c r="M454" s="453"/>
      <c r="N454" s="453"/>
      <c r="O454" s="453"/>
      <c r="P454" s="453"/>
      <c r="Q454" s="453"/>
      <c r="R454" s="453"/>
      <c r="S454" s="453"/>
      <c r="T454" s="453"/>
      <c r="U454" s="453"/>
      <c r="V454" s="453"/>
      <c r="W454" s="453"/>
      <c r="X454" s="453"/>
      <c r="Y454" s="453"/>
      <c r="Z454" s="453"/>
      <c r="AA454" s="453"/>
    </row>
    <row r="455" spans="1:27" s="583" customFormat="1" x14ac:dyDescent="0.25">
      <c r="A455" s="608"/>
      <c r="B455" s="608"/>
      <c r="C455" s="608"/>
      <c r="D455" s="608"/>
      <c r="E455" s="609"/>
      <c r="F455" s="609"/>
      <c r="G455" s="609"/>
      <c r="H455" s="609"/>
      <c r="I455" s="609"/>
      <c r="J455" s="609"/>
      <c r="K455" s="609"/>
      <c r="M455" s="453"/>
      <c r="N455" s="453"/>
      <c r="O455" s="453"/>
      <c r="P455" s="453"/>
      <c r="Q455" s="453"/>
      <c r="R455" s="453"/>
      <c r="S455" s="453"/>
      <c r="T455" s="453"/>
      <c r="U455" s="453"/>
      <c r="V455" s="453"/>
      <c r="W455" s="453"/>
      <c r="X455" s="453"/>
      <c r="Y455" s="453"/>
      <c r="Z455" s="453"/>
      <c r="AA455" s="453"/>
    </row>
    <row r="456" spans="1:27" s="583" customFormat="1" x14ac:dyDescent="0.25">
      <c r="A456" s="608"/>
      <c r="B456" s="608"/>
      <c r="C456" s="608"/>
      <c r="D456" s="608"/>
      <c r="E456" s="609"/>
      <c r="F456" s="609"/>
      <c r="G456" s="609"/>
      <c r="H456" s="609"/>
      <c r="I456" s="609"/>
      <c r="J456" s="609"/>
      <c r="K456" s="609"/>
      <c r="M456" s="453"/>
      <c r="N456" s="453"/>
      <c r="O456" s="453"/>
      <c r="P456" s="453"/>
      <c r="Q456" s="453"/>
      <c r="R456" s="453"/>
      <c r="S456" s="453"/>
      <c r="T456" s="453"/>
      <c r="U456" s="453"/>
      <c r="V456" s="453"/>
      <c r="W456" s="453"/>
      <c r="X456" s="453"/>
      <c r="Y456" s="453"/>
      <c r="Z456" s="453"/>
      <c r="AA456" s="453"/>
    </row>
    <row r="457" spans="1:27" s="583" customFormat="1" x14ac:dyDescent="0.25">
      <c r="A457" s="608"/>
      <c r="B457" s="608"/>
      <c r="C457" s="608"/>
      <c r="D457" s="608"/>
      <c r="E457" s="609"/>
      <c r="F457" s="609"/>
      <c r="G457" s="609"/>
      <c r="H457" s="609"/>
      <c r="I457" s="609"/>
      <c r="J457" s="609"/>
      <c r="K457" s="609"/>
      <c r="M457" s="453"/>
      <c r="N457" s="453"/>
      <c r="O457" s="453"/>
      <c r="P457" s="453"/>
      <c r="Q457" s="453"/>
      <c r="R457" s="453"/>
      <c r="S457" s="453"/>
      <c r="T457" s="453"/>
      <c r="U457" s="453"/>
      <c r="V457" s="453"/>
      <c r="W457" s="453"/>
      <c r="X457" s="453"/>
      <c r="Y457" s="453"/>
      <c r="Z457" s="453"/>
      <c r="AA457" s="453"/>
    </row>
    <row r="458" spans="1:27" s="583" customFormat="1" x14ac:dyDescent="0.25">
      <c r="A458" s="608"/>
      <c r="B458" s="608"/>
      <c r="C458" s="608"/>
      <c r="D458" s="608"/>
      <c r="E458" s="609"/>
      <c r="F458" s="609"/>
      <c r="G458" s="609"/>
      <c r="H458" s="609"/>
      <c r="I458" s="609"/>
      <c r="J458" s="609"/>
      <c r="K458" s="609"/>
      <c r="M458" s="453"/>
      <c r="N458" s="453"/>
      <c r="O458" s="453"/>
      <c r="P458" s="453"/>
      <c r="Q458" s="453"/>
      <c r="R458" s="453"/>
      <c r="S458" s="453"/>
      <c r="T458" s="453"/>
      <c r="U458" s="453"/>
      <c r="V458" s="453"/>
      <c r="W458" s="453"/>
      <c r="X458" s="453"/>
      <c r="Y458" s="453"/>
      <c r="Z458" s="453"/>
      <c r="AA458" s="453"/>
    </row>
    <row r="459" spans="1:27" s="583" customFormat="1" x14ac:dyDescent="0.25">
      <c r="A459" s="608"/>
      <c r="B459" s="608"/>
      <c r="C459" s="608"/>
      <c r="D459" s="608"/>
      <c r="E459" s="609"/>
      <c r="F459" s="609"/>
      <c r="G459" s="609"/>
      <c r="H459" s="609"/>
      <c r="I459" s="609"/>
      <c r="J459" s="609"/>
      <c r="K459" s="609"/>
      <c r="M459" s="453"/>
      <c r="N459" s="453"/>
      <c r="O459" s="453"/>
      <c r="P459" s="453"/>
      <c r="Q459" s="453"/>
      <c r="R459" s="453"/>
      <c r="S459" s="453"/>
      <c r="T459" s="453"/>
      <c r="U459" s="453"/>
      <c r="V459" s="453"/>
      <c r="W459" s="453"/>
      <c r="X459" s="453"/>
      <c r="Y459" s="453"/>
      <c r="Z459" s="453"/>
      <c r="AA459" s="453"/>
    </row>
    <row r="460" spans="1:27" s="583" customFormat="1" x14ac:dyDescent="0.25">
      <c r="A460" s="608"/>
      <c r="B460" s="608"/>
      <c r="C460" s="608"/>
      <c r="D460" s="608"/>
      <c r="E460" s="609"/>
      <c r="F460" s="609"/>
      <c r="G460" s="609"/>
      <c r="H460" s="609"/>
      <c r="I460" s="609"/>
      <c r="J460" s="609"/>
      <c r="K460" s="609"/>
      <c r="M460" s="453"/>
      <c r="N460" s="453"/>
      <c r="O460" s="453"/>
      <c r="P460" s="453"/>
      <c r="Q460" s="453"/>
      <c r="R460" s="453"/>
      <c r="S460" s="453"/>
      <c r="T460" s="453"/>
      <c r="U460" s="453"/>
      <c r="V460" s="453"/>
      <c r="W460" s="453"/>
      <c r="X460" s="453"/>
      <c r="Y460" s="453"/>
      <c r="Z460" s="453"/>
      <c r="AA460" s="453"/>
    </row>
    <row r="461" spans="1:27" s="583" customFormat="1" x14ac:dyDescent="0.25">
      <c r="A461" s="608"/>
      <c r="B461" s="608"/>
      <c r="C461" s="608"/>
      <c r="D461" s="608"/>
      <c r="E461" s="609"/>
      <c r="F461" s="609"/>
      <c r="G461" s="609"/>
      <c r="H461" s="609"/>
      <c r="I461" s="609"/>
      <c r="J461" s="609"/>
      <c r="K461" s="609"/>
      <c r="M461" s="453"/>
      <c r="N461" s="453"/>
      <c r="O461" s="453"/>
      <c r="P461" s="453"/>
      <c r="Q461" s="453"/>
      <c r="R461" s="453"/>
      <c r="S461" s="453"/>
      <c r="T461" s="453"/>
      <c r="U461" s="453"/>
      <c r="V461" s="453"/>
      <c r="W461" s="453"/>
      <c r="X461" s="453"/>
      <c r="Y461" s="453"/>
      <c r="Z461" s="453"/>
      <c r="AA461" s="453"/>
    </row>
    <row r="462" spans="1:27" s="583" customFormat="1" x14ac:dyDescent="0.25">
      <c r="A462" s="608"/>
      <c r="B462" s="608"/>
      <c r="C462" s="608"/>
      <c r="D462" s="608"/>
      <c r="E462" s="609"/>
      <c r="F462" s="609"/>
      <c r="G462" s="609"/>
      <c r="H462" s="609"/>
      <c r="I462" s="609"/>
      <c r="J462" s="609"/>
      <c r="K462" s="609"/>
      <c r="M462" s="453"/>
      <c r="N462" s="453"/>
      <c r="O462" s="453"/>
      <c r="P462" s="453"/>
      <c r="Q462" s="453"/>
      <c r="R462" s="453"/>
      <c r="S462" s="453"/>
      <c r="T462" s="453"/>
      <c r="U462" s="453"/>
      <c r="V462" s="453"/>
      <c r="W462" s="453"/>
      <c r="X462" s="453"/>
      <c r="Y462" s="453"/>
      <c r="Z462" s="453"/>
      <c r="AA462" s="453"/>
    </row>
    <row r="463" spans="1:27" s="583" customFormat="1" x14ac:dyDescent="0.25">
      <c r="A463" s="608"/>
      <c r="B463" s="608"/>
      <c r="C463" s="608"/>
      <c r="D463" s="608"/>
      <c r="E463" s="609"/>
      <c r="F463" s="609"/>
      <c r="G463" s="609"/>
      <c r="H463" s="609"/>
      <c r="I463" s="609"/>
      <c r="J463" s="609"/>
      <c r="K463" s="609"/>
      <c r="M463" s="453"/>
      <c r="N463" s="453"/>
      <c r="O463" s="453"/>
      <c r="P463" s="453"/>
      <c r="Q463" s="453"/>
      <c r="R463" s="453"/>
      <c r="S463" s="453"/>
      <c r="T463" s="453"/>
      <c r="U463" s="453"/>
      <c r="V463" s="453"/>
      <c r="W463" s="453"/>
      <c r="X463" s="453"/>
      <c r="Y463" s="453"/>
      <c r="Z463" s="453"/>
      <c r="AA463" s="453"/>
    </row>
    <row r="464" spans="1:27" s="583" customFormat="1" x14ac:dyDescent="0.25">
      <c r="A464" s="608"/>
      <c r="B464" s="608"/>
      <c r="C464" s="608"/>
      <c r="D464" s="608"/>
      <c r="E464" s="609"/>
      <c r="F464" s="609"/>
      <c r="G464" s="609"/>
      <c r="H464" s="609"/>
      <c r="I464" s="609"/>
      <c r="J464" s="609"/>
      <c r="K464" s="609"/>
      <c r="M464" s="453"/>
      <c r="N464" s="453"/>
      <c r="O464" s="453"/>
      <c r="P464" s="453"/>
      <c r="Q464" s="453"/>
      <c r="R464" s="453"/>
      <c r="S464" s="453"/>
      <c r="T464" s="453"/>
      <c r="U464" s="453"/>
      <c r="V464" s="453"/>
      <c r="W464" s="453"/>
      <c r="X464" s="453"/>
      <c r="Y464" s="453"/>
      <c r="Z464" s="453"/>
      <c r="AA464" s="453"/>
    </row>
    <row r="465" spans="1:27" s="583" customFormat="1" x14ac:dyDescent="0.25">
      <c r="A465" s="608"/>
      <c r="B465" s="608"/>
      <c r="C465" s="608"/>
      <c r="D465" s="608"/>
      <c r="E465" s="609"/>
      <c r="F465" s="609"/>
      <c r="G465" s="609"/>
      <c r="H465" s="609"/>
      <c r="I465" s="609"/>
      <c r="J465" s="609"/>
      <c r="K465" s="609"/>
      <c r="M465" s="453"/>
      <c r="N465" s="453"/>
      <c r="O465" s="453"/>
      <c r="P465" s="453"/>
      <c r="Q465" s="453"/>
      <c r="R465" s="453"/>
      <c r="S465" s="453"/>
      <c r="T465" s="453"/>
      <c r="U465" s="453"/>
      <c r="V465" s="453"/>
      <c r="W465" s="453"/>
      <c r="X465" s="453"/>
      <c r="Y465" s="453"/>
      <c r="Z465" s="453"/>
      <c r="AA465" s="453"/>
    </row>
    <row r="466" spans="1:27" s="583" customFormat="1" x14ac:dyDescent="0.25">
      <c r="A466" s="608"/>
      <c r="B466" s="608"/>
      <c r="C466" s="608"/>
      <c r="D466" s="608"/>
      <c r="E466" s="609"/>
      <c r="F466" s="609"/>
      <c r="G466" s="609"/>
      <c r="H466" s="609"/>
      <c r="I466" s="609"/>
      <c r="J466" s="609"/>
      <c r="K466" s="609"/>
      <c r="M466" s="453"/>
      <c r="N466" s="453"/>
      <c r="O466" s="453"/>
      <c r="P466" s="453"/>
      <c r="Q466" s="453"/>
      <c r="R466" s="453"/>
      <c r="S466" s="453"/>
      <c r="T466" s="453"/>
      <c r="U466" s="453"/>
      <c r="V466" s="453"/>
      <c r="W466" s="453"/>
      <c r="X466" s="453"/>
      <c r="Y466" s="453"/>
      <c r="Z466" s="453"/>
      <c r="AA466" s="453"/>
    </row>
    <row r="467" spans="1:27" s="583" customFormat="1" x14ac:dyDescent="0.25">
      <c r="A467" s="608"/>
      <c r="B467" s="608"/>
      <c r="C467" s="608"/>
      <c r="D467" s="608"/>
      <c r="E467" s="609"/>
      <c r="F467" s="609"/>
      <c r="G467" s="609"/>
      <c r="H467" s="609"/>
      <c r="I467" s="609"/>
      <c r="J467" s="609"/>
      <c r="K467" s="609"/>
      <c r="M467" s="453"/>
      <c r="N467" s="453"/>
      <c r="O467" s="453"/>
      <c r="P467" s="453"/>
      <c r="Q467" s="453"/>
      <c r="R467" s="453"/>
      <c r="S467" s="453"/>
      <c r="T467" s="453"/>
      <c r="U467" s="453"/>
      <c r="V467" s="453"/>
      <c r="W467" s="453"/>
      <c r="X467" s="453"/>
      <c r="Y467" s="453"/>
      <c r="Z467" s="453"/>
      <c r="AA467" s="453"/>
    </row>
    <row r="468" spans="1:27" s="583" customFormat="1" x14ac:dyDescent="0.25">
      <c r="A468" s="608"/>
      <c r="B468" s="608"/>
      <c r="C468" s="608"/>
      <c r="D468" s="608"/>
      <c r="E468" s="609"/>
      <c r="F468" s="609"/>
      <c r="G468" s="609"/>
      <c r="H468" s="609"/>
      <c r="I468" s="609"/>
      <c r="J468" s="609"/>
      <c r="K468" s="609"/>
      <c r="M468" s="453"/>
      <c r="N468" s="453"/>
      <c r="O468" s="453"/>
      <c r="P468" s="453"/>
      <c r="Q468" s="453"/>
      <c r="R468" s="453"/>
      <c r="S468" s="453"/>
      <c r="T468" s="453"/>
      <c r="U468" s="453"/>
      <c r="V468" s="453"/>
      <c r="W468" s="453"/>
      <c r="X468" s="453"/>
      <c r="Y468" s="453"/>
      <c r="Z468" s="453"/>
      <c r="AA468" s="453"/>
    </row>
    <row r="469" spans="1:27" s="583" customFormat="1" x14ac:dyDescent="0.25">
      <c r="A469" s="608"/>
      <c r="B469" s="608"/>
      <c r="C469" s="608"/>
      <c r="D469" s="608"/>
      <c r="E469" s="609"/>
      <c r="F469" s="609"/>
      <c r="G469" s="609"/>
      <c r="H469" s="609"/>
      <c r="I469" s="609"/>
      <c r="J469" s="609"/>
      <c r="K469" s="609"/>
      <c r="M469" s="453"/>
      <c r="N469" s="453"/>
      <c r="O469" s="453"/>
      <c r="P469" s="453"/>
      <c r="Q469" s="453"/>
      <c r="R469" s="453"/>
      <c r="S469" s="453"/>
      <c r="T469" s="453"/>
      <c r="U469" s="453"/>
      <c r="V469" s="453"/>
      <c r="W469" s="453"/>
      <c r="X469" s="453"/>
      <c r="Y469" s="453"/>
      <c r="Z469" s="453"/>
      <c r="AA469" s="453"/>
    </row>
    <row r="470" spans="1:27" s="583" customFormat="1" x14ac:dyDescent="0.25">
      <c r="A470" s="608"/>
      <c r="B470" s="608"/>
      <c r="C470" s="608"/>
      <c r="D470" s="608"/>
      <c r="E470" s="609"/>
      <c r="F470" s="609"/>
      <c r="G470" s="609"/>
      <c r="H470" s="609"/>
      <c r="I470" s="609"/>
      <c r="J470" s="609"/>
      <c r="K470" s="609"/>
      <c r="M470" s="453"/>
      <c r="N470" s="453"/>
      <c r="O470" s="453"/>
      <c r="P470" s="453"/>
      <c r="Q470" s="453"/>
      <c r="R470" s="453"/>
      <c r="S470" s="453"/>
      <c r="T470" s="453"/>
      <c r="U470" s="453"/>
      <c r="V470" s="453"/>
      <c r="W470" s="453"/>
      <c r="X470" s="453"/>
      <c r="Y470" s="453"/>
      <c r="Z470" s="453"/>
      <c r="AA470" s="453"/>
    </row>
    <row r="471" spans="1:27" s="583" customFormat="1" x14ac:dyDescent="0.25">
      <c r="A471" s="608"/>
      <c r="B471" s="608"/>
      <c r="C471" s="608"/>
      <c r="D471" s="608"/>
      <c r="E471" s="609"/>
      <c r="F471" s="609"/>
      <c r="G471" s="609"/>
      <c r="H471" s="609"/>
      <c r="I471" s="609"/>
      <c r="J471" s="609"/>
      <c r="K471" s="609"/>
      <c r="M471" s="453"/>
      <c r="N471" s="453"/>
      <c r="O471" s="453"/>
      <c r="P471" s="453"/>
      <c r="Q471" s="453"/>
      <c r="R471" s="453"/>
      <c r="S471" s="453"/>
      <c r="T471" s="453"/>
      <c r="U471" s="453"/>
      <c r="V471" s="453"/>
      <c r="W471" s="453"/>
      <c r="X471" s="453"/>
      <c r="Y471" s="453"/>
      <c r="Z471" s="453"/>
      <c r="AA471" s="453"/>
    </row>
    <row r="472" spans="1:27" s="583" customFormat="1" x14ac:dyDescent="0.25">
      <c r="A472" s="608"/>
      <c r="B472" s="608"/>
      <c r="C472" s="608"/>
      <c r="D472" s="608"/>
      <c r="E472" s="609"/>
      <c r="F472" s="609"/>
      <c r="G472" s="609"/>
      <c r="H472" s="609"/>
      <c r="I472" s="609"/>
      <c r="J472" s="609"/>
      <c r="K472" s="609"/>
      <c r="M472" s="453"/>
      <c r="N472" s="453"/>
      <c r="O472" s="453"/>
      <c r="P472" s="453"/>
      <c r="Q472" s="453"/>
      <c r="R472" s="453"/>
      <c r="S472" s="453"/>
      <c r="T472" s="453"/>
      <c r="U472" s="453"/>
      <c r="V472" s="453"/>
      <c r="W472" s="453"/>
      <c r="X472" s="453"/>
      <c r="Y472" s="453"/>
      <c r="Z472" s="453"/>
      <c r="AA472" s="453"/>
    </row>
    <row r="473" spans="1:27" s="583" customFormat="1" x14ac:dyDescent="0.25">
      <c r="A473" s="608"/>
      <c r="B473" s="608"/>
      <c r="C473" s="608"/>
      <c r="D473" s="608"/>
      <c r="E473" s="609"/>
      <c r="F473" s="609"/>
      <c r="G473" s="609"/>
      <c r="H473" s="609"/>
      <c r="I473" s="609"/>
      <c r="J473" s="609"/>
      <c r="K473" s="609"/>
      <c r="M473" s="453"/>
      <c r="N473" s="453"/>
      <c r="O473" s="453"/>
      <c r="P473" s="453"/>
      <c r="Q473" s="453"/>
      <c r="R473" s="453"/>
      <c r="S473" s="453"/>
      <c r="T473" s="453"/>
      <c r="U473" s="453"/>
      <c r="V473" s="453"/>
      <c r="W473" s="453"/>
      <c r="X473" s="453"/>
      <c r="Y473" s="453"/>
      <c r="Z473" s="453"/>
      <c r="AA473" s="453"/>
    </row>
    <row r="474" spans="1:27" s="583" customFormat="1" x14ac:dyDescent="0.25">
      <c r="A474" s="608"/>
      <c r="B474" s="608"/>
      <c r="C474" s="608"/>
      <c r="D474" s="608"/>
      <c r="E474" s="609"/>
      <c r="F474" s="609"/>
      <c r="G474" s="609"/>
      <c r="H474" s="609"/>
      <c r="I474" s="609"/>
      <c r="J474" s="609"/>
      <c r="K474" s="609"/>
      <c r="M474" s="453"/>
      <c r="N474" s="453"/>
      <c r="O474" s="453"/>
      <c r="P474" s="453"/>
      <c r="Q474" s="453"/>
      <c r="R474" s="453"/>
      <c r="S474" s="453"/>
      <c r="T474" s="453"/>
      <c r="U474" s="453"/>
      <c r="V474" s="453"/>
      <c r="W474" s="453"/>
      <c r="X474" s="453"/>
      <c r="Y474" s="453"/>
      <c r="Z474" s="453"/>
      <c r="AA474" s="453"/>
    </row>
    <row r="475" spans="1:27" s="583" customFormat="1" x14ac:dyDescent="0.25">
      <c r="A475" s="608"/>
      <c r="B475" s="608"/>
      <c r="C475" s="608"/>
      <c r="D475" s="608"/>
      <c r="E475" s="609"/>
      <c r="F475" s="609"/>
      <c r="G475" s="609"/>
      <c r="H475" s="609"/>
      <c r="I475" s="609"/>
      <c r="J475" s="609"/>
      <c r="K475" s="609"/>
      <c r="M475" s="453"/>
      <c r="N475" s="453"/>
      <c r="O475" s="453"/>
      <c r="P475" s="453"/>
      <c r="Q475" s="453"/>
      <c r="R475" s="453"/>
      <c r="S475" s="453"/>
      <c r="T475" s="453"/>
      <c r="U475" s="453"/>
      <c r="V475" s="453"/>
      <c r="W475" s="453"/>
      <c r="X475" s="453"/>
      <c r="Y475" s="453"/>
      <c r="Z475" s="453"/>
      <c r="AA475" s="453"/>
    </row>
    <row r="476" spans="1:27" s="583" customFormat="1" x14ac:dyDescent="0.25">
      <c r="A476" s="608"/>
      <c r="B476" s="608"/>
      <c r="C476" s="608"/>
      <c r="D476" s="608"/>
      <c r="E476" s="609"/>
      <c r="F476" s="609"/>
      <c r="G476" s="609"/>
      <c r="H476" s="609"/>
      <c r="I476" s="609"/>
      <c r="J476" s="609"/>
      <c r="K476" s="609"/>
      <c r="M476" s="453"/>
      <c r="N476" s="453"/>
      <c r="O476" s="453"/>
      <c r="P476" s="453"/>
      <c r="Q476" s="453"/>
      <c r="R476" s="453"/>
      <c r="S476" s="453"/>
      <c r="T476" s="453"/>
      <c r="U476" s="453"/>
      <c r="V476" s="453"/>
      <c r="W476" s="453"/>
      <c r="X476" s="453"/>
      <c r="Y476" s="453"/>
      <c r="Z476" s="453"/>
      <c r="AA476" s="453"/>
    </row>
    <row r="477" spans="1:27" s="583" customFormat="1" x14ac:dyDescent="0.25">
      <c r="A477" s="608"/>
      <c r="B477" s="608"/>
      <c r="C477" s="608"/>
      <c r="D477" s="608"/>
      <c r="E477" s="609"/>
      <c r="F477" s="609"/>
      <c r="G477" s="609"/>
      <c r="H477" s="609"/>
      <c r="I477" s="609"/>
      <c r="J477" s="609"/>
      <c r="K477" s="609"/>
      <c r="M477" s="453"/>
      <c r="N477" s="453"/>
      <c r="O477" s="453"/>
      <c r="P477" s="453"/>
      <c r="Q477" s="453"/>
      <c r="R477" s="453"/>
      <c r="S477" s="453"/>
      <c r="T477" s="453"/>
      <c r="U477" s="453"/>
      <c r="V477" s="453"/>
      <c r="W477" s="453"/>
      <c r="X477" s="453"/>
      <c r="Y477" s="453"/>
      <c r="Z477" s="453"/>
      <c r="AA477" s="453"/>
    </row>
    <row r="478" spans="1:27" s="583" customFormat="1" x14ac:dyDescent="0.25">
      <c r="A478" s="608"/>
      <c r="B478" s="608"/>
      <c r="C478" s="608"/>
      <c r="D478" s="608"/>
      <c r="E478" s="609"/>
      <c r="F478" s="609"/>
      <c r="G478" s="609"/>
      <c r="H478" s="609"/>
      <c r="I478" s="609"/>
      <c r="J478" s="609"/>
      <c r="K478" s="609"/>
      <c r="M478" s="453"/>
      <c r="N478" s="453"/>
      <c r="O478" s="453"/>
      <c r="P478" s="453"/>
      <c r="Q478" s="453"/>
      <c r="R478" s="453"/>
      <c r="S478" s="453"/>
      <c r="T478" s="453"/>
      <c r="U478" s="453"/>
      <c r="V478" s="453"/>
      <c r="W478" s="453"/>
      <c r="X478" s="453"/>
      <c r="Y478" s="453"/>
      <c r="Z478" s="453"/>
      <c r="AA478" s="453"/>
    </row>
    <row r="479" spans="1:27" s="583" customFormat="1" x14ac:dyDescent="0.25">
      <c r="A479" s="608"/>
      <c r="B479" s="608"/>
      <c r="C479" s="608"/>
      <c r="D479" s="608"/>
      <c r="E479" s="609"/>
      <c r="F479" s="609"/>
      <c r="G479" s="609"/>
      <c r="H479" s="609"/>
      <c r="I479" s="609"/>
      <c r="J479" s="609"/>
      <c r="K479" s="609"/>
      <c r="M479" s="453"/>
      <c r="N479" s="453"/>
      <c r="O479" s="453"/>
      <c r="P479" s="453"/>
      <c r="Q479" s="453"/>
      <c r="R479" s="453"/>
      <c r="S479" s="453"/>
      <c r="T479" s="453"/>
      <c r="U479" s="453"/>
      <c r="V479" s="453"/>
      <c r="W479" s="453"/>
      <c r="X479" s="453"/>
      <c r="Y479" s="453"/>
      <c r="Z479" s="453"/>
      <c r="AA479" s="453"/>
    </row>
    <row r="480" spans="1:27" s="583" customFormat="1" x14ac:dyDescent="0.25">
      <c r="A480" s="608"/>
      <c r="B480" s="608"/>
      <c r="C480" s="608"/>
      <c r="D480" s="608"/>
      <c r="E480" s="609"/>
      <c r="F480" s="609"/>
      <c r="G480" s="609"/>
      <c r="H480" s="609"/>
      <c r="I480" s="609"/>
      <c r="J480" s="609"/>
      <c r="K480" s="609"/>
      <c r="M480" s="453"/>
      <c r="N480" s="453"/>
      <c r="O480" s="453"/>
      <c r="P480" s="453"/>
      <c r="Q480" s="453"/>
      <c r="R480" s="453"/>
      <c r="S480" s="453"/>
      <c r="T480" s="453"/>
      <c r="U480" s="453"/>
      <c r="V480" s="453"/>
      <c r="W480" s="453"/>
      <c r="X480" s="453"/>
      <c r="Y480" s="453"/>
      <c r="Z480" s="453"/>
      <c r="AA480" s="453"/>
    </row>
    <row r="481" spans="1:27" s="583" customFormat="1" x14ac:dyDescent="0.25">
      <c r="A481" s="608"/>
      <c r="B481" s="608"/>
      <c r="C481" s="608"/>
      <c r="D481" s="608"/>
      <c r="E481" s="609"/>
      <c r="F481" s="609"/>
      <c r="G481" s="609"/>
      <c r="H481" s="609"/>
      <c r="I481" s="609"/>
      <c r="J481" s="609"/>
      <c r="K481" s="609"/>
      <c r="M481" s="453"/>
      <c r="N481" s="453"/>
      <c r="O481" s="453"/>
      <c r="P481" s="453"/>
      <c r="Q481" s="453"/>
      <c r="R481" s="453"/>
      <c r="S481" s="453"/>
      <c r="T481" s="453"/>
      <c r="U481" s="453"/>
      <c r="V481" s="453"/>
      <c r="W481" s="453"/>
      <c r="X481" s="453"/>
      <c r="Y481" s="453"/>
      <c r="Z481" s="453"/>
      <c r="AA481" s="453"/>
    </row>
    <row r="482" spans="1:27" s="583" customFormat="1" x14ac:dyDescent="0.25">
      <c r="A482" s="608"/>
      <c r="B482" s="608"/>
      <c r="C482" s="608"/>
      <c r="D482" s="608"/>
      <c r="E482" s="609"/>
      <c r="F482" s="609"/>
      <c r="G482" s="609"/>
      <c r="H482" s="609"/>
      <c r="I482" s="609"/>
      <c r="J482" s="609"/>
      <c r="K482" s="609"/>
      <c r="M482" s="453"/>
      <c r="N482" s="453"/>
      <c r="O482" s="453"/>
      <c r="P482" s="453"/>
      <c r="Q482" s="453"/>
      <c r="R482" s="453"/>
      <c r="S482" s="453"/>
      <c r="T482" s="453"/>
      <c r="U482" s="453"/>
      <c r="V482" s="453"/>
      <c r="W482" s="453"/>
      <c r="X482" s="453"/>
      <c r="Y482" s="453"/>
      <c r="Z482" s="453"/>
      <c r="AA482" s="453"/>
    </row>
    <row r="483" spans="1:27" s="583" customFormat="1" x14ac:dyDescent="0.25">
      <c r="A483" s="608"/>
      <c r="B483" s="608"/>
      <c r="C483" s="608"/>
      <c r="D483" s="608"/>
      <c r="E483" s="609"/>
      <c r="F483" s="609"/>
      <c r="G483" s="609"/>
      <c r="H483" s="609"/>
      <c r="I483" s="609"/>
      <c r="J483" s="609"/>
      <c r="K483" s="609"/>
      <c r="M483" s="453"/>
      <c r="N483" s="453"/>
      <c r="O483" s="453"/>
      <c r="P483" s="453"/>
      <c r="Q483" s="453"/>
      <c r="R483" s="453"/>
      <c r="S483" s="453"/>
      <c r="T483" s="453"/>
      <c r="U483" s="453"/>
      <c r="V483" s="453"/>
      <c r="W483" s="453"/>
      <c r="X483" s="453"/>
      <c r="Y483" s="453"/>
      <c r="Z483" s="453"/>
      <c r="AA483" s="453"/>
    </row>
    <row r="484" spans="1:27" s="583" customFormat="1" x14ac:dyDescent="0.25">
      <c r="A484" s="608"/>
      <c r="B484" s="608"/>
      <c r="C484" s="608"/>
      <c r="D484" s="608"/>
      <c r="E484" s="609"/>
      <c r="F484" s="609"/>
      <c r="G484" s="609"/>
      <c r="H484" s="609"/>
      <c r="I484" s="609"/>
      <c r="J484" s="609"/>
      <c r="K484" s="609"/>
      <c r="M484" s="453"/>
      <c r="N484" s="453"/>
      <c r="O484" s="453"/>
      <c r="P484" s="453"/>
      <c r="Q484" s="453"/>
      <c r="R484" s="453"/>
      <c r="S484" s="453"/>
      <c r="T484" s="453"/>
      <c r="U484" s="453"/>
      <c r="V484" s="453"/>
      <c r="W484" s="453"/>
      <c r="X484" s="453"/>
      <c r="Y484" s="453"/>
      <c r="Z484" s="453"/>
      <c r="AA484" s="453"/>
    </row>
    <row r="485" spans="1:27" s="583" customFormat="1" x14ac:dyDescent="0.25">
      <c r="A485" s="608"/>
      <c r="B485" s="608"/>
      <c r="C485" s="608"/>
      <c r="D485" s="608"/>
      <c r="E485" s="609"/>
      <c r="F485" s="609"/>
      <c r="G485" s="609"/>
      <c r="H485" s="609"/>
      <c r="I485" s="609"/>
      <c r="J485" s="609"/>
      <c r="K485" s="609"/>
      <c r="M485" s="453"/>
      <c r="N485" s="453"/>
      <c r="O485" s="453"/>
      <c r="P485" s="453"/>
      <c r="Q485" s="453"/>
      <c r="R485" s="453"/>
      <c r="S485" s="453"/>
      <c r="T485" s="453"/>
      <c r="U485" s="453"/>
      <c r="V485" s="453"/>
      <c r="W485" s="453"/>
      <c r="X485" s="453"/>
      <c r="Y485" s="453"/>
      <c r="Z485" s="453"/>
      <c r="AA485" s="453"/>
    </row>
    <row r="486" spans="1:27" s="583" customFormat="1" x14ac:dyDescent="0.25">
      <c r="A486" s="608"/>
      <c r="B486" s="608"/>
      <c r="C486" s="608"/>
      <c r="D486" s="608"/>
      <c r="E486" s="609"/>
      <c r="F486" s="609"/>
      <c r="G486" s="609"/>
      <c r="H486" s="609"/>
      <c r="I486" s="609"/>
      <c r="J486" s="609"/>
      <c r="K486" s="609"/>
      <c r="M486" s="453"/>
      <c r="N486" s="453"/>
      <c r="O486" s="453"/>
      <c r="P486" s="453"/>
      <c r="Q486" s="453"/>
      <c r="R486" s="453"/>
      <c r="S486" s="453"/>
      <c r="T486" s="453"/>
      <c r="U486" s="453"/>
      <c r="V486" s="453"/>
      <c r="W486" s="453"/>
      <c r="X486" s="453"/>
      <c r="Y486" s="453"/>
      <c r="Z486" s="453"/>
      <c r="AA486" s="453"/>
    </row>
    <row r="487" spans="1:27" s="583" customFormat="1" x14ac:dyDescent="0.25">
      <c r="A487" s="608"/>
      <c r="B487" s="608"/>
      <c r="C487" s="608"/>
      <c r="D487" s="608"/>
      <c r="E487" s="609"/>
      <c r="F487" s="609"/>
      <c r="G487" s="609"/>
      <c r="H487" s="609"/>
      <c r="I487" s="609"/>
      <c r="J487" s="609"/>
      <c r="K487" s="609"/>
      <c r="M487" s="453"/>
      <c r="N487" s="453"/>
      <c r="O487" s="453"/>
      <c r="P487" s="453"/>
      <c r="Q487" s="453"/>
      <c r="R487" s="453"/>
      <c r="S487" s="453"/>
      <c r="T487" s="453"/>
      <c r="U487" s="453"/>
      <c r="V487" s="453"/>
      <c r="W487" s="453"/>
      <c r="X487" s="453"/>
      <c r="Y487" s="453"/>
      <c r="Z487" s="453"/>
      <c r="AA487" s="453"/>
    </row>
    <row r="488" spans="1:27" s="583" customFormat="1" x14ac:dyDescent="0.25">
      <c r="A488" s="608"/>
      <c r="B488" s="608"/>
      <c r="C488" s="608"/>
      <c r="D488" s="608"/>
      <c r="E488" s="609"/>
      <c r="F488" s="609"/>
      <c r="G488" s="609"/>
      <c r="H488" s="609"/>
      <c r="I488" s="609"/>
      <c r="J488" s="609"/>
      <c r="K488" s="609"/>
      <c r="M488" s="453"/>
      <c r="N488" s="453"/>
      <c r="O488" s="453"/>
      <c r="P488" s="453"/>
      <c r="Q488" s="453"/>
      <c r="R488" s="453"/>
      <c r="S488" s="453"/>
      <c r="T488" s="453"/>
      <c r="U488" s="453"/>
      <c r="V488" s="453"/>
      <c r="W488" s="453"/>
      <c r="X488" s="453"/>
      <c r="Y488" s="453"/>
      <c r="Z488" s="453"/>
      <c r="AA488" s="453"/>
    </row>
    <row r="489" spans="1:27" s="583" customFormat="1" x14ac:dyDescent="0.25">
      <c r="A489" s="608"/>
      <c r="B489" s="608"/>
      <c r="C489" s="608"/>
      <c r="D489" s="608"/>
      <c r="E489" s="609"/>
      <c r="F489" s="609"/>
      <c r="G489" s="609"/>
      <c r="H489" s="609"/>
      <c r="I489" s="609"/>
      <c r="J489" s="609"/>
      <c r="K489" s="609"/>
      <c r="M489" s="453"/>
      <c r="N489" s="453"/>
      <c r="O489" s="453"/>
      <c r="P489" s="453"/>
      <c r="Q489" s="453"/>
      <c r="R489" s="453"/>
      <c r="S489" s="453"/>
      <c r="T489" s="453"/>
      <c r="U489" s="453"/>
      <c r="V489" s="453"/>
      <c r="W489" s="453"/>
      <c r="X489" s="453"/>
      <c r="Y489" s="453"/>
      <c r="Z489" s="453"/>
      <c r="AA489" s="453"/>
    </row>
    <row r="490" spans="1:27" s="583" customFormat="1" x14ac:dyDescent="0.25">
      <c r="A490" s="608"/>
      <c r="B490" s="608"/>
      <c r="C490" s="608"/>
      <c r="D490" s="608"/>
      <c r="E490" s="609"/>
      <c r="F490" s="609"/>
      <c r="G490" s="609"/>
      <c r="H490" s="609"/>
      <c r="I490" s="609"/>
      <c r="J490" s="609"/>
      <c r="K490" s="609"/>
      <c r="M490" s="453"/>
      <c r="N490" s="453"/>
      <c r="O490" s="453"/>
      <c r="P490" s="453"/>
      <c r="Q490" s="453"/>
      <c r="R490" s="453"/>
      <c r="S490" s="453"/>
      <c r="T490" s="453"/>
      <c r="U490" s="453"/>
      <c r="V490" s="453"/>
      <c r="W490" s="453"/>
      <c r="X490" s="453"/>
      <c r="Y490" s="453"/>
      <c r="Z490" s="453"/>
      <c r="AA490" s="453"/>
    </row>
    <row r="491" spans="1:27" s="583" customFormat="1" x14ac:dyDescent="0.25">
      <c r="A491" s="608"/>
      <c r="B491" s="608"/>
      <c r="C491" s="608"/>
      <c r="D491" s="608"/>
      <c r="E491" s="609"/>
      <c r="F491" s="609"/>
      <c r="G491" s="609"/>
      <c r="H491" s="609"/>
      <c r="I491" s="609"/>
      <c r="J491" s="609"/>
      <c r="K491" s="609"/>
      <c r="M491" s="453"/>
      <c r="N491" s="453"/>
      <c r="O491" s="453"/>
      <c r="P491" s="453"/>
      <c r="Q491" s="453"/>
      <c r="R491" s="453"/>
      <c r="S491" s="453"/>
      <c r="T491" s="453"/>
      <c r="U491" s="453"/>
      <c r="V491" s="453"/>
      <c r="W491" s="453"/>
      <c r="X491" s="453"/>
      <c r="Y491" s="453"/>
      <c r="Z491" s="453"/>
      <c r="AA491" s="453"/>
    </row>
    <row r="492" spans="1:27" s="583" customFormat="1" x14ac:dyDescent="0.25">
      <c r="A492" s="608"/>
      <c r="B492" s="608"/>
      <c r="C492" s="608"/>
      <c r="D492" s="608"/>
      <c r="E492" s="609"/>
      <c r="F492" s="609"/>
      <c r="G492" s="609"/>
      <c r="H492" s="609"/>
      <c r="I492" s="609"/>
      <c r="J492" s="609"/>
      <c r="K492" s="609"/>
      <c r="M492" s="453"/>
      <c r="N492" s="453"/>
      <c r="O492" s="453"/>
      <c r="P492" s="453"/>
      <c r="Q492" s="453"/>
      <c r="R492" s="453"/>
      <c r="S492" s="453"/>
      <c r="T492" s="453"/>
      <c r="U492" s="453"/>
      <c r="V492" s="453"/>
      <c r="W492" s="453"/>
      <c r="X492" s="453"/>
      <c r="Y492" s="453"/>
      <c r="Z492" s="453"/>
      <c r="AA492" s="453"/>
    </row>
    <row r="493" spans="1:27" s="583" customFormat="1" x14ac:dyDescent="0.25">
      <c r="A493" s="608"/>
      <c r="B493" s="608"/>
      <c r="C493" s="608"/>
      <c r="D493" s="608"/>
      <c r="E493" s="609"/>
      <c r="F493" s="609"/>
      <c r="G493" s="609"/>
      <c r="H493" s="609"/>
      <c r="I493" s="609"/>
      <c r="J493" s="609"/>
      <c r="K493" s="609"/>
      <c r="M493" s="453"/>
      <c r="N493" s="453"/>
      <c r="O493" s="453"/>
      <c r="P493" s="453"/>
      <c r="Q493" s="453"/>
      <c r="R493" s="453"/>
      <c r="S493" s="453"/>
      <c r="T493" s="453"/>
      <c r="U493" s="453"/>
      <c r="V493" s="453"/>
      <c r="W493" s="453"/>
      <c r="X493" s="453"/>
      <c r="Y493" s="453"/>
      <c r="Z493" s="453"/>
      <c r="AA493" s="453"/>
    </row>
    <row r="494" spans="1:27" s="583" customFormat="1" x14ac:dyDescent="0.25">
      <c r="A494" s="608"/>
      <c r="B494" s="608"/>
      <c r="C494" s="608"/>
      <c r="D494" s="608"/>
      <c r="E494" s="609"/>
      <c r="F494" s="609"/>
      <c r="G494" s="609"/>
      <c r="H494" s="609"/>
      <c r="I494" s="609"/>
      <c r="J494" s="609"/>
      <c r="K494" s="609"/>
      <c r="M494" s="453"/>
      <c r="N494" s="453"/>
      <c r="O494" s="453"/>
      <c r="P494" s="453"/>
      <c r="Q494" s="453"/>
      <c r="R494" s="453"/>
      <c r="S494" s="453"/>
      <c r="T494" s="453"/>
      <c r="U494" s="453"/>
      <c r="V494" s="453"/>
      <c r="W494" s="453"/>
      <c r="X494" s="453"/>
      <c r="Y494" s="453"/>
      <c r="Z494" s="453"/>
      <c r="AA494" s="453"/>
    </row>
    <row r="495" spans="1:27" s="583" customFormat="1" x14ac:dyDescent="0.25">
      <c r="A495" s="608"/>
      <c r="B495" s="608"/>
      <c r="C495" s="608"/>
      <c r="D495" s="608"/>
      <c r="E495" s="609"/>
      <c r="F495" s="609"/>
      <c r="G495" s="609"/>
      <c r="H495" s="609"/>
      <c r="I495" s="609"/>
      <c r="J495" s="609"/>
      <c r="K495" s="609"/>
      <c r="M495" s="453"/>
      <c r="N495" s="453"/>
      <c r="O495" s="453"/>
      <c r="P495" s="453"/>
      <c r="Q495" s="453"/>
      <c r="R495" s="453"/>
      <c r="S495" s="453"/>
      <c r="T495" s="453"/>
      <c r="U495" s="453"/>
      <c r="V495" s="453"/>
      <c r="W495" s="453"/>
      <c r="X495" s="453"/>
      <c r="Y495" s="453"/>
      <c r="Z495" s="453"/>
      <c r="AA495" s="453"/>
    </row>
    <row r="496" spans="1:27" s="583" customFormat="1" x14ac:dyDescent="0.25">
      <c r="A496" s="608"/>
      <c r="B496" s="608"/>
      <c r="C496" s="608"/>
      <c r="D496" s="608"/>
      <c r="E496" s="609"/>
      <c r="F496" s="609"/>
      <c r="G496" s="609"/>
      <c r="H496" s="609"/>
      <c r="I496" s="609"/>
      <c r="J496" s="609"/>
      <c r="K496" s="609"/>
      <c r="M496" s="453"/>
      <c r="N496" s="453"/>
      <c r="O496" s="453"/>
      <c r="P496" s="453"/>
      <c r="Q496" s="453"/>
      <c r="R496" s="453"/>
      <c r="S496" s="453"/>
      <c r="T496" s="453"/>
      <c r="U496" s="453"/>
      <c r="V496" s="453"/>
      <c r="W496" s="453"/>
      <c r="X496" s="453"/>
      <c r="Y496" s="453"/>
      <c r="Z496" s="453"/>
      <c r="AA496" s="453"/>
    </row>
    <row r="497" spans="1:27" s="583" customFormat="1" x14ac:dyDescent="0.25">
      <c r="A497" s="608"/>
      <c r="B497" s="608"/>
      <c r="C497" s="608"/>
      <c r="D497" s="608"/>
      <c r="E497" s="609"/>
      <c r="F497" s="609"/>
      <c r="G497" s="609"/>
      <c r="H497" s="609"/>
      <c r="I497" s="609"/>
      <c r="J497" s="609"/>
      <c r="K497" s="609"/>
      <c r="M497" s="453"/>
      <c r="N497" s="453"/>
      <c r="O497" s="453"/>
      <c r="P497" s="453"/>
      <c r="Q497" s="453"/>
      <c r="R497" s="453"/>
      <c r="S497" s="453"/>
      <c r="T497" s="453"/>
      <c r="U497" s="453"/>
      <c r="V497" s="453"/>
      <c r="W497" s="453"/>
      <c r="X497" s="453"/>
      <c r="Y497" s="453"/>
      <c r="Z497" s="453"/>
      <c r="AA497" s="453"/>
    </row>
  </sheetData>
  <mergeCells count="43">
    <mergeCell ref="A16:B16"/>
    <mergeCell ref="T11:T12"/>
    <mergeCell ref="U11:U12"/>
    <mergeCell ref="V11:V12"/>
    <mergeCell ref="W11:W12"/>
    <mergeCell ref="X11:X12"/>
    <mergeCell ref="Y11:Y12"/>
    <mergeCell ref="Z10:Z12"/>
    <mergeCell ref="AA10:AA12"/>
    <mergeCell ref="E11:E12"/>
    <mergeCell ref="F11:F12"/>
    <mergeCell ref="H11:H12"/>
    <mergeCell ref="I11:I12"/>
    <mergeCell ref="J11:J12"/>
    <mergeCell ref="K11:K12"/>
    <mergeCell ref="M11:M12"/>
    <mergeCell ref="N11:N12"/>
    <mergeCell ref="L10:L12"/>
    <mergeCell ref="M10:P10"/>
    <mergeCell ref="Q10:Q12"/>
    <mergeCell ref="R10:U10"/>
    <mergeCell ref="A8:AA8"/>
    <mergeCell ref="A9:B9"/>
    <mergeCell ref="A10:A12"/>
    <mergeCell ref="B10:B12"/>
    <mergeCell ref="C10:C12"/>
    <mergeCell ref="D10:D12"/>
    <mergeCell ref="E10:F10"/>
    <mergeCell ref="G10:G12"/>
    <mergeCell ref="H10:I10"/>
    <mergeCell ref="J10:K10"/>
    <mergeCell ref="V10:W10"/>
    <mergeCell ref="X10:Y10"/>
    <mergeCell ref="O11:O12"/>
    <mergeCell ref="P11:P12"/>
    <mergeCell ref="R11:R12"/>
    <mergeCell ref="S11:S12"/>
    <mergeCell ref="A7:AA7"/>
    <mergeCell ref="Q1:AA1"/>
    <mergeCell ref="Q2:AA2"/>
    <mergeCell ref="Q3:AA3"/>
    <mergeCell ref="Q4:AA4"/>
    <mergeCell ref="A6:AA6"/>
  </mergeCells>
  <pageMargins left="0.17" right="0.17" top="0.75" bottom="0.75" header="0.3" footer="0.3"/>
  <pageSetup paperSize="9" scale="41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E16"/>
  <sheetViews>
    <sheetView view="pageBreakPreview" zoomScale="110" zoomScaleSheetLayoutView="110" workbookViewId="0">
      <selection activeCell="D4" sqref="D4:E4"/>
    </sheetView>
  </sheetViews>
  <sheetFormatPr defaultColWidth="9.109375" defaultRowHeight="13.2" x14ac:dyDescent="0.25"/>
  <cols>
    <col min="1" max="1" width="5.5546875" style="514" customWidth="1"/>
    <col min="2" max="2" width="59.5546875" style="514" customWidth="1"/>
    <col min="3" max="3" width="13.88671875" style="514" customWidth="1"/>
    <col min="4" max="4" width="13.33203125" style="514" customWidth="1"/>
    <col min="5" max="5" width="12.33203125" style="514" customWidth="1"/>
    <col min="6" max="16384" width="9.109375" style="514"/>
  </cols>
  <sheetData>
    <row r="1" spans="1:5" x14ac:dyDescent="0.25">
      <c r="A1" s="570"/>
      <c r="B1" s="570"/>
      <c r="C1" s="570"/>
      <c r="D1" s="570"/>
      <c r="E1" s="494" t="s">
        <v>935</v>
      </c>
    </row>
    <row r="2" spans="1:5" x14ac:dyDescent="0.25">
      <c r="A2" s="934" t="s">
        <v>909</v>
      </c>
      <c r="B2" s="934"/>
      <c r="C2" s="934"/>
      <c r="D2" s="934"/>
      <c r="E2" s="934"/>
    </row>
    <row r="3" spans="1:5" x14ac:dyDescent="0.25">
      <c r="A3" s="934" t="s">
        <v>1031</v>
      </c>
      <c r="B3" s="934"/>
      <c r="C3" s="934"/>
      <c r="D3" s="934"/>
      <c r="E3" s="934"/>
    </row>
    <row r="4" spans="1:5" ht="15.6" x14ac:dyDescent="0.3">
      <c r="A4" s="516"/>
      <c r="B4" s="612"/>
      <c r="D4" s="915" t="s">
        <v>1562</v>
      </c>
      <c r="E4" s="915"/>
    </row>
    <row r="5" spans="1:5" ht="15.6" x14ac:dyDescent="0.3">
      <c r="A5" s="516"/>
      <c r="B5" s="612"/>
      <c r="D5" s="571"/>
      <c r="E5" s="571"/>
    </row>
    <row r="6" spans="1:5" ht="32.25" customHeight="1" x14ac:dyDescent="0.25">
      <c r="A6" s="1007" t="s">
        <v>1103</v>
      </c>
      <c r="B6" s="1007"/>
      <c r="C6" s="1007"/>
      <c r="D6" s="1007"/>
      <c r="E6" s="1007"/>
    </row>
    <row r="7" spans="1:5" ht="15.6" x14ac:dyDescent="0.3">
      <c r="A7" s="613" t="s">
        <v>915</v>
      </c>
      <c r="E7" s="494" t="s">
        <v>910</v>
      </c>
    </row>
    <row r="8" spans="1:5" ht="23.25" customHeight="1" x14ac:dyDescent="0.25">
      <c r="A8" s="1008" t="s">
        <v>618</v>
      </c>
      <c r="B8" s="1008" t="s">
        <v>1020</v>
      </c>
      <c r="C8" s="1009" t="s">
        <v>937</v>
      </c>
      <c r="D8" s="1010"/>
      <c r="E8" s="1011"/>
    </row>
    <row r="9" spans="1:5" ht="26.4" x14ac:dyDescent="0.25">
      <c r="A9" s="1008"/>
      <c r="B9" s="1008"/>
      <c r="C9" s="614" t="s">
        <v>1021</v>
      </c>
      <c r="D9" s="614" t="s">
        <v>853</v>
      </c>
      <c r="E9" s="614" t="s">
        <v>854</v>
      </c>
    </row>
    <row r="10" spans="1:5" x14ac:dyDescent="0.25">
      <c r="A10" s="614">
        <v>1</v>
      </c>
      <c r="B10" s="614">
        <v>2</v>
      </c>
      <c r="C10" s="614">
        <v>3</v>
      </c>
      <c r="D10" s="614">
        <v>4</v>
      </c>
      <c r="E10" s="614">
        <v>5</v>
      </c>
    </row>
    <row r="11" spans="1:5" ht="26.4" x14ac:dyDescent="0.25">
      <c r="A11" s="615">
        <v>1</v>
      </c>
      <c r="B11" s="616" t="s">
        <v>949</v>
      </c>
      <c r="C11" s="715">
        <v>1930.36258</v>
      </c>
      <c r="D11" s="715">
        <v>1907.67193</v>
      </c>
      <c r="E11" s="617">
        <f t="shared" ref="E11:E16" si="0">D11*100/C11</f>
        <v>98.824539481075107</v>
      </c>
    </row>
    <row r="12" spans="1:5" ht="26.4" x14ac:dyDescent="0.25">
      <c r="A12" s="615">
        <v>2</v>
      </c>
      <c r="B12" s="616" t="s">
        <v>1017</v>
      </c>
      <c r="C12" s="717">
        <v>84188.279609999998</v>
      </c>
      <c r="D12" s="717">
        <v>4096.1120499999997</v>
      </c>
      <c r="E12" s="617">
        <f t="shared" si="0"/>
        <v>4.8654184038147967</v>
      </c>
    </row>
    <row r="13" spans="1:5" ht="26.4" x14ac:dyDescent="0.25">
      <c r="A13" s="615">
        <v>3</v>
      </c>
      <c r="B13" s="618" t="s">
        <v>597</v>
      </c>
      <c r="C13" s="716">
        <v>4643.2</v>
      </c>
      <c r="D13" s="716">
        <v>4643.1400000000003</v>
      </c>
      <c r="E13" s="617">
        <f t="shared" si="0"/>
        <v>99.998707787732613</v>
      </c>
    </row>
    <row r="14" spans="1:5" ht="39.6" x14ac:dyDescent="0.25">
      <c r="A14" s="615">
        <v>4</v>
      </c>
      <c r="B14" s="618" t="s">
        <v>781</v>
      </c>
      <c r="C14" s="718">
        <v>753.6</v>
      </c>
      <c r="D14" s="718">
        <v>753.51499999999999</v>
      </c>
      <c r="E14" s="617">
        <f t="shared" si="0"/>
        <v>99.988720806794049</v>
      </c>
    </row>
    <row r="15" spans="1:5" ht="26.4" x14ac:dyDescent="0.25">
      <c r="A15" s="615">
        <v>5</v>
      </c>
      <c r="B15" s="618" t="s">
        <v>282</v>
      </c>
      <c r="C15" s="715">
        <v>734.38052000000005</v>
      </c>
      <c r="D15" s="715">
        <v>734.38052000000005</v>
      </c>
      <c r="E15" s="617">
        <f t="shared" si="0"/>
        <v>100.00000000000001</v>
      </c>
    </row>
    <row r="16" spans="1:5" x14ac:dyDescent="0.25">
      <c r="A16" s="1006" t="s">
        <v>836</v>
      </c>
      <c r="B16" s="1006"/>
      <c r="C16" s="727">
        <f>SUM(C11:C15)</f>
        <v>92249.822710000008</v>
      </c>
      <c r="D16" s="727">
        <f>SUM(D11:D15)</f>
        <v>12134.8195</v>
      </c>
      <c r="E16" s="619">
        <f t="shared" si="0"/>
        <v>13.154301161258024</v>
      </c>
    </row>
  </sheetData>
  <mergeCells count="8">
    <mergeCell ref="A16:B16"/>
    <mergeCell ref="A2:E2"/>
    <mergeCell ref="A3:E3"/>
    <mergeCell ref="D4:E4"/>
    <mergeCell ref="A6:E6"/>
    <mergeCell ref="A8:A9"/>
    <mergeCell ref="B8:B9"/>
    <mergeCell ref="C8:E8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8"/>
  <sheetViews>
    <sheetView view="pageBreakPreview" zoomScale="60" workbookViewId="0">
      <selection activeCell="A2" sqref="A2:F2"/>
    </sheetView>
  </sheetViews>
  <sheetFormatPr defaultColWidth="9.109375" defaultRowHeight="13.2" x14ac:dyDescent="0.25"/>
  <cols>
    <col min="1" max="1" width="7.109375" style="620" customWidth="1"/>
    <col min="2" max="2" width="73.5546875" style="620" customWidth="1"/>
    <col min="3" max="3" width="15.44140625" style="620" customWidth="1"/>
    <col min="4" max="4" width="15.33203125" style="620" customWidth="1"/>
    <col min="5" max="5" width="12.88671875" style="620" customWidth="1"/>
    <col min="6" max="6" width="16" style="620" customWidth="1"/>
    <col min="7" max="7" width="31" style="620" customWidth="1"/>
    <col min="8" max="8" width="12.109375" style="620" customWidth="1"/>
    <col min="9" max="16384" width="9.109375" style="620"/>
  </cols>
  <sheetData>
    <row r="1" spans="1:6" x14ac:dyDescent="0.25">
      <c r="A1" s="541"/>
      <c r="B1" s="541"/>
      <c r="C1" s="541"/>
      <c r="D1" s="541"/>
      <c r="E1" s="1013" t="s">
        <v>998</v>
      </c>
      <c r="F1" s="1013"/>
    </row>
    <row r="2" spans="1:6" x14ac:dyDescent="0.25">
      <c r="A2" s="1013" t="s">
        <v>887</v>
      </c>
      <c r="B2" s="1013"/>
      <c r="C2" s="1013"/>
      <c r="D2" s="1013"/>
      <c r="E2" s="1013"/>
      <c r="F2" s="1013"/>
    </row>
    <row r="3" spans="1:6" x14ac:dyDescent="0.25">
      <c r="A3" s="915" t="s">
        <v>1031</v>
      </c>
      <c r="B3" s="915"/>
      <c r="C3" s="915"/>
      <c r="D3" s="915"/>
      <c r="E3" s="915"/>
      <c r="F3" s="915"/>
    </row>
    <row r="4" spans="1:6" ht="15.6" x14ac:dyDescent="0.3">
      <c r="A4" s="621"/>
      <c r="E4" s="915" t="s">
        <v>1561</v>
      </c>
      <c r="F4" s="915"/>
    </row>
    <row r="5" spans="1:6" ht="15.6" x14ac:dyDescent="0.3">
      <c r="A5" s="621"/>
      <c r="E5" s="571"/>
      <c r="F5" s="571"/>
    </row>
    <row r="6" spans="1:6" ht="17.399999999999999" x14ac:dyDescent="0.3">
      <c r="A6" s="1012" t="s">
        <v>950</v>
      </c>
      <c r="B6" s="1012"/>
      <c r="C6" s="1012"/>
      <c r="D6" s="1012"/>
      <c r="E6" s="1012"/>
      <c r="F6" s="1012"/>
    </row>
    <row r="7" spans="1:6" ht="17.399999999999999" x14ac:dyDescent="0.3">
      <c r="A7" s="1012" t="s">
        <v>1104</v>
      </c>
      <c r="B7" s="1012"/>
      <c r="C7" s="1012"/>
      <c r="D7" s="1012"/>
      <c r="E7" s="1012"/>
      <c r="F7" s="1012"/>
    </row>
    <row r="8" spans="1:6" ht="15.6" x14ac:dyDescent="0.3">
      <c r="A8" s="1014" t="s">
        <v>910</v>
      </c>
      <c r="B8" s="1014"/>
      <c r="C8" s="1014"/>
      <c r="D8" s="1014"/>
      <c r="E8" s="1014"/>
      <c r="F8" s="1014"/>
    </row>
    <row r="9" spans="1:6" x14ac:dyDescent="0.25">
      <c r="A9" s="1015" t="s">
        <v>618</v>
      </c>
      <c r="B9" s="1015" t="s">
        <v>1022</v>
      </c>
      <c r="C9" s="1015" t="s">
        <v>852</v>
      </c>
      <c r="D9" s="1015" t="s">
        <v>853</v>
      </c>
      <c r="E9" s="1015" t="s">
        <v>1023</v>
      </c>
      <c r="F9" s="1015" t="s">
        <v>1024</v>
      </c>
    </row>
    <row r="10" spans="1:6" ht="43.5" customHeight="1" x14ac:dyDescent="0.25">
      <c r="A10" s="1015"/>
      <c r="B10" s="1015"/>
      <c r="C10" s="1015"/>
      <c r="D10" s="1015"/>
      <c r="E10" s="1015"/>
      <c r="F10" s="1015"/>
    </row>
    <row r="11" spans="1:6" x14ac:dyDescent="0.25">
      <c r="A11" s="622">
        <v>1</v>
      </c>
      <c r="B11" s="622">
        <v>2</v>
      </c>
      <c r="C11" s="622">
        <v>3</v>
      </c>
      <c r="D11" s="622">
        <v>4</v>
      </c>
      <c r="E11" s="622">
        <v>5</v>
      </c>
      <c r="F11" s="622">
        <v>6</v>
      </c>
    </row>
    <row r="12" spans="1:6" s="626" customFormat="1" x14ac:dyDescent="0.25">
      <c r="A12" s="623" t="s">
        <v>1025</v>
      </c>
      <c r="B12" s="624" t="s">
        <v>1105</v>
      </c>
      <c r="C12" s="728">
        <f>C13</f>
        <v>92166.947499999995</v>
      </c>
      <c r="D12" s="728">
        <f>D13</f>
        <v>92166.947499999995</v>
      </c>
      <c r="E12" s="625">
        <f t="shared" ref="E12:E15" si="0">D12/C12*100</f>
        <v>100</v>
      </c>
      <c r="F12" s="625">
        <f t="shared" ref="F12:F15" si="1">C12-D12</f>
        <v>0</v>
      </c>
    </row>
    <row r="13" spans="1:6" ht="26.4" x14ac:dyDescent="0.25">
      <c r="A13" s="627"/>
      <c r="B13" s="628" t="s">
        <v>215</v>
      </c>
      <c r="C13" s="729">
        <f>SUM(C14+C17+C19+C21)</f>
        <v>92166.947499999995</v>
      </c>
      <c r="D13" s="729">
        <f>SUM(D14+D17+D19+D21)</f>
        <v>92166.947499999995</v>
      </c>
      <c r="E13" s="629">
        <f t="shared" si="0"/>
        <v>100</v>
      </c>
      <c r="F13" s="630">
        <f t="shared" si="1"/>
        <v>0</v>
      </c>
    </row>
    <row r="14" spans="1:6" ht="39.6" x14ac:dyDescent="0.25">
      <c r="A14" s="631"/>
      <c r="B14" s="632" t="s">
        <v>221</v>
      </c>
      <c r="C14" s="730">
        <f>C15+C16</f>
        <v>429.77020000000005</v>
      </c>
      <c r="D14" s="730">
        <f>D15+D16</f>
        <v>429.77020000000005</v>
      </c>
      <c r="E14" s="633">
        <f t="shared" si="0"/>
        <v>100</v>
      </c>
      <c r="F14" s="634">
        <f t="shared" si="1"/>
        <v>0</v>
      </c>
    </row>
    <row r="15" spans="1:6" x14ac:dyDescent="0.25">
      <c r="A15" s="631"/>
      <c r="B15" s="635" t="s">
        <v>1026</v>
      </c>
      <c r="C15" s="344">
        <v>412.57940000000002</v>
      </c>
      <c r="D15" s="344">
        <v>412.57940000000002</v>
      </c>
      <c r="E15" s="636">
        <f t="shared" si="0"/>
        <v>100</v>
      </c>
      <c r="F15" s="457">
        <f t="shared" si="1"/>
        <v>0</v>
      </c>
    </row>
    <row r="16" spans="1:6" x14ac:dyDescent="0.25">
      <c r="A16" s="631"/>
      <c r="B16" s="635" t="s">
        <v>1027</v>
      </c>
      <c r="C16" s="344">
        <v>17.190799999999999</v>
      </c>
      <c r="D16" s="344">
        <v>17.190799999999999</v>
      </c>
      <c r="E16" s="636"/>
      <c r="F16" s="457"/>
    </row>
    <row r="17" spans="1:6" ht="39.6" x14ac:dyDescent="0.25">
      <c r="A17" s="631"/>
      <c r="B17" s="632" t="s">
        <v>872</v>
      </c>
      <c r="C17" s="730">
        <f>C18</f>
        <v>267</v>
      </c>
      <c r="D17" s="730">
        <f>D18</f>
        <v>267</v>
      </c>
      <c r="E17" s="633">
        <f t="shared" ref="E17:E18" si="2">D17/C17*100</f>
        <v>100</v>
      </c>
      <c r="F17" s="634">
        <f t="shared" ref="F17:F18" si="3">C17-D17</f>
        <v>0</v>
      </c>
    </row>
    <row r="18" spans="1:6" x14ac:dyDescent="0.25">
      <c r="A18" s="631"/>
      <c r="B18" s="635" t="s">
        <v>1026</v>
      </c>
      <c r="C18" s="344">
        <v>267</v>
      </c>
      <c r="D18" s="344">
        <v>267</v>
      </c>
      <c r="E18" s="636">
        <f t="shared" si="2"/>
        <v>100</v>
      </c>
      <c r="F18" s="457">
        <f t="shared" si="3"/>
        <v>0</v>
      </c>
    </row>
    <row r="19" spans="1:6" ht="39.6" x14ac:dyDescent="0.25">
      <c r="A19" s="631"/>
      <c r="B19" s="632" t="s">
        <v>226</v>
      </c>
      <c r="C19" s="730">
        <f>C20</f>
        <v>21740.799999999999</v>
      </c>
      <c r="D19" s="730">
        <f>D20</f>
        <v>21740.799999999999</v>
      </c>
      <c r="E19" s="633">
        <f t="shared" ref="E19:E20" si="4">D19/C19*100</f>
        <v>100</v>
      </c>
      <c r="F19" s="634">
        <f t="shared" ref="F19:F20" si="5">C19-D19</f>
        <v>0</v>
      </c>
    </row>
    <row r="20" spans="1:6" x14ac:dyDescent="0.25">
      <c r="A20" s="631"/>
      <c r="B20" s="635" t="s">
        <v>1026</v>
      </c>
      <c r="C20" s="344">
        <v>21740.799999999999</v>
      </c>
      <c r="D20" s="344">
        <v>21740.799999999999</v>
      </c>
      <c r="E20" s="636">
        <f t="shared" si="4"/>
        <v>100</v>
      </c>
      <c r="F20" s="457">
        <f t="shared" si="5"/>
        <v>0</v>
      </c>
    </row>
    <row r="21" spans="1:6" ht="30" customHeight="1" x14ac:dyDescent="0.25">
      <c r="A21" s="855"/>
      <c r="B21" s="856" t="s">
        <v>812</v>
      </c>
      <c r="C21" s="857">
        <f t="shared" ref="C21:D21" si="6">C23+C24+C22</f>
        <v>69729.377299999993</v>
      </c>
      <c r="D21" s="857">
        <f t="shared" si="6"/>
        <v>69729.377299999993</v>
      </c>
      <c r="E21" s="633">
        <f t="shared" ref="E21:E24" si="7">D21/C21*100</f>
        <v>100</v>
      </c>
      <c r="F21" s="858">
        <f t="shared" ref="F21:F24" si="8">C21-D21</f>
        <v>0</v>
      </c>
    </row>
    <row r="22" spans="1:6" x14ac:dyDescent="0.25">
      <c r="A22" s="855"/>
      <c r="B22" s="635" t="s">
        <v>1026</v>
      </c>
      <c r="C22" s="290">
        <v>48355.3</v>
      </c>
      <c r="D22" s="290">
        <v>48355.3</v>
      </c>
      <c r="E22" s="636">
        <f t="shared" si="7"/>
        <v>100</v>
      </c>
      <c r="F22" s="457">
        <f t="shared" si="8"/>
        <v>0</v>
      </c>
    </row>
    <row r="23" spans="1:6" x14ac:dyDescent="0.25">
      <c r="A23" s="855"/>
      <c r="B23" s="635" t="s">
        <v>1027</v>
      </c>
      <c r="C23" s="241">
        <v>16118.43334</v>
      </c>
      <c r="D23" s="241">
        <v>16118.43334</v>
      </c>
      <c r="E23" s="636">
        <f t="shared" si="7"/>
        <v>100</v>
      </c>
      <c r="F23" s="457">
        <f t="shared" si="8"/>
        <v>0</v>
      </c>
    </row>
    <row r="24" spans="1:6" x14ac:dyDescent="0.25">
      <c r="A24" s="855"/>
      <c r="B24" s="637" t="s">
        <v>1028</v>
      </c>
      <c r="C24" s="290">
        <f t="shared" ref="C24:D24" si="9">5119.13372+136.51024</f>
        <v>5255.6439599999994</v>
      </c>
      <c r="D24" s="290">
        <f t="shared" si="9"/>
        <v>5255.6439599999994</v>
      </c>
      <c r="E24" s="636">
        <f t="shared" si="7"/>
        <v>100</v>
      </c>
      <c r="F24" s="457">
        <f t="shared" si="8"/>
        <v>0</v>
      </c>
    </row>
    <row r="25" spans="1:6" x14ac:dyDescent="0.25">
      <c r="A25" s="638" t="s">
        <v>1029</v>
      </c>
      <c r="B25" s="624" t="s">
        <v>1106</v>
      </c>
      <c r="C25" s="728">
        <f>C26+C31+C36</f>
        <v>87370.783960000001</v>
      </c>
      <c r="D25" s="728">
        <f>D26+D31+D36</f>
        <v>87370.783940000008</v>
      </c>
      <c r="E25" s="639">
        <f t="shared" ref="E25:E43" si="10">D25/C25*100</f>
        <v>99.99999997710907</v>
      </c>
      <c r="F25" s="619">
        <f t="shared" ref="F25:F44" si="11">C25-D25</f>
        <v>1.9999992218799889E-5</v>
      </c>
    </row>
    <row r="26" spans="1:6" ht="26.4" x14ac:dyDescent="0.25">
      <c r="A26" s="640"/>
      <c r="B26" s="641" t="s">
        <v>415</v>
      </c>
      <c r="C26" s="729">
        <f>C28+C29+C30</f>
        <v>75255.677810000008</v>
      </c>
      <c r="D26" s="729">
        <f>D28+D29+D30</f>
        <v>75255.677810000008</v>
      </c>
      <c r="E26" s="629">
        <f t="shared" si="10"/>
        <v>100</v>
      </c>
      <c r="F26" s="630">
        <f t="shared" si="11"/>
        <v>0</v>
      </c>
    </row>
    <row r="27" spans="1:6" x14ac:dyDescent="0.25">
      <c r="A27" s="642"/>
      <c r="B27" s="643" t="s">
        <v>400</v>
      </c>
      <c r="C27" s="730">
        <f>C28+C29+C30</f>
        <v>75255.677810000008</v>
      </c>
      <c r="D27" s="730">
        <f>D28+D29+D30</f>
        <v>75255.677810000008</v>
      </c>
      <c r="E27" s="633">
        <v>100</v>
      </c>
      <c r="F27" s="634">
        <v>0</v>
      </c>
    </row>
    <row r="28" spans="1:6" s="626" customFormat="1" x14ac:dyDescent="0.25">
      <c r="A28" s="644"/>
      <c r="B28" s="635" t="s">
        <v>1026</v>
      </c>
      <c r="C28" s="241">
        <v>71884.223440000002</v>
      </c>
      <c r="D28" s="241">
        <v>71884.223440000002</v>
      </c>
      <c r="E28" s="636">
        <f t="shared" si="10"/>
        <v>100</v>
      </c>
      <c r="F28" s="537">
        <f t="shared" si="11"/>
        <v>0</v>
      </c>
    </row>
    <row r="29" spans="1:6" s="626" customFormat="1" x14ac:dyDescent="0.25">
      <c r="A29" s="644"/>
      <c r="B29" s="635" t="s">
        <v>1027</v>
      </c>
      <c r="C29" s="241">
        <v>2995.17598</v>
      </c>
      <c r="D29" s="241">
        <v>2995.17598</v>
      </c>
      <c r="E29" s="636">
        <f t="shared" si="10"/>
        <v>100</v>
      </c>
      <c r="F29" s="537">
        <f t="shared" si="11"/>
        <v>0</v>
      </c>
    </row>
    <row r="30" spans="1:6" s="626" customFormat="1" x14ac:dyDescent="0.25">
      <c r="A30" s="644"/>
      <c r="B30" s="637" t="s">
        <v>1028</v>
      </c>
      <c r="C30" s="241">
        <v>376.27839000000006</v>
      </c>
      <c r="D30" s="241">
        <v>376.27839000000006</v>
      </c>
      <c r="E30" s="636">
        <f t="shared" si="10"/>
        <v>100</v>
      </c>
      <c r="F30" s="537">
        <f t="shared" si="11"/>
        <v>0</v>
      </c>
    </row>
    <row r="31" spans="1:6" ht="26.4" x14ac:dyDescent="0.25">
      <c r="A31" s="640"/>
      <c r="B31" s="641" t="s">
        <v>302</v>
      </c>
      <c r="C31" s="729">
        <f>C33+C34+C35</f>
        <v>6415.7461299999995</v>
      </c>
      <c r="D31" s="729">
        <f>D33+D34+D35</f>
        <v>6415.7461299999995</v>
      </c>
      <c r="E31" s="629">
        <f t="shared" ref="E31" si="12">D31/C31*100</f>
        <v>100</v>
      </c>
      <c r="F31" s="630">
        <f t="shared" ref="F31" si="13">C31-D31</f>
        <v>0</v>
      </c>
    </row>
    <row r="32" spans="1:6" ht="26.4" x14ac:dyDescent="0.25">
      <c r="A32" s="642"/>
      <c r="B32" s="643" t="s">
        <v>747</v>
      </c>
      <c r="C32" s="730">
        <f>C33+C34+C35</f>
        <v>6415.7461299999995</v>
      </c>
      <c r="D32" s="730">
        <f>D33+D34+D35</f>
        <v>6415.7461299999995</v>
      </c>
      <c r="E32" s="633">
        <v>100</v>
      </c>
      <c r="F32" s="634">
        <v>0</v>
      </c>
    </row>
    <row r="33" spans="1:8" s="626" customFormat="1" x14ac:dyDescent="0.25">
      <c r="A33" s="644"/>
      <c r="B33" s="635" t="s">
        <v>1026</v>
      </c>
      <c r="C33" s="241">
        <v>5543.2046600000003</v>
      </c>
      <c r="D33" s="241">
        <v>5543.2046600000003</v>
      </c>
      <c r="E33" s="636">
        <f t="shared" ref="E33:E36" si="14">D33/C33*100</f>
        <v>100</v>
      </c>
      <c r="F33" s="537">
        <f t="shared" ref="F33:F36" si="15">C33-D33</f>
        <v>0</v>
      </c>
    </row>
    <row r="34" spans="1:8" s="626" customFormat="1" x14ac:dyDescent="0.25">
      <c r="A34" s="644"/>
      <c r="B34" s="635" t="s">
        <v>1027</v>
      </c>
      <c r="C34" s="241">
        <v>230.96686</v>
      </c>
      <c r="D34" s="241">
        <v>230.96686</v>
      </c>
      <c r="E34" s="636">
        <f t="shared" si="14"/>
        <v>100</v>
      </c>
      <c r="F34" s="537">
        <f t="shared" si="15"/>
        <v>0</v>
      </c>
    </row>
    <row r="35" spans="1:8" s="626" customFormat="1" x14ac:dyDescent="0.25">
      <c r="A35" s="644"/>
      <c r="B35" s="637" t="s">
        <v>1028</v>
      </c>
      <c r="C35" s="241">
        <v>641.57461000000001</v>
      </c>
      <c r="D35" s="241">
        <v>641.57461000000001</v>
      </c>
      <c r="E35" s="636">
        <f t="shared" si="14"/>
        <v>100</v>
      </c>
      <c r="F35" s="537">
        <f t="shared" si="15"/>
        <v>0</v>
      </c>
    </row>
    <row r="36" spans="1:8" ht="26.4" x14ac:dyDescent="0.25">
      <c r="A36" s="640"/>
      <c r="B36" s="641" t="s">
        <v>1114</v>
      </c>
      <c r="C36" s="729">
        <f>C38+C39+C40</f>
        <v>5699.3600200000001</v>
      </c>
      <c r="D36" s="729">
        <f>D38+D39+D40</f>
        <v>5699.36</v>
      </c>
      <c r="E36" s="629">
        <f t="shared" si="14"/>
        <v>99.999999649083406</v>
      </c>
      <c r="F36" s="630">
        <f t="shared" si="15"/>
        <v>2.0000000404252205E-5</v>
      </c>
    </row>
    <row r="37" spans="1:8" ht="39.6" x14ac:dyDescent="0.25">
      <c r="A37" s="642"/>
      <c r="B37" s="643" t="s">
        <v>1115</v>
      </c>
      <c r="C37" s="730">
        <f>C38+C39+C40</f>
        <v>5699.3600200000001</v>
      </c>
      <c r="D37" s="730">
        <f>D38+D39+D40</f>
        <v>5699.36</v>
      </c>
      <c r="E37" s="633">
        <v>100</v>
      </c>
      <c r="F37" s="634">
        <v>0</v>
      </c>
    </row>
    <row r="38" spans="1:8" s="626" customFormat="1" x14ac:dyDescent="0.25">
      <c r="A38" s="644"/>
      <c r="B38" s="635" t="s">
        <v>1026</v>
      </c>
      <c r="C38" s="344">
        <v>3174.5435200000002</v>
      </c>
      <c r="D38" s="344">
        <v>3174.5435200000002</v>
      </c>
      <c r="E38" s="636">
        <f t="shared" ref="E38:E40" si="16">D38/C38*100</f>
        <v>100</v>
      </c>
      <c r="F38" s="537">
        <f t="shared" ref="F38:F40" si="17">C38-D38</f>
        <v>0</v>
      </c>
    </row>
    <row r="39" spans="1:8" s="626" customFormat="1" x14ac:dyDescent="0.25">
      <c r="A39" s="644"/>
      <c r="B39" s="635" t="s">
        <v>1027</v>
      </c>
      <c r="C39" s="344">
        <v>1893.6123600000001</v>
      </c>
      <c r="D39" s="344">
        <v>1893.6123399999999</v>
      </c>
      <c r="E39" s="636">
        <f t="shared" si="16"/>
        <v>99.999998943817616</v>
      </c>
      <c r="F39" s="537">
        <f t="shared" si="17"/>
        <v>2.000000017687853E-5</v>
      </c>
    </row>
    <row r="40" spans="1:8" s="626" customFormat="1" x14ac:dyDescent="0.25">
      <c r="A40" s="644"/>
      <c r="B40" s="637" t="s">
        <v>1028</v>
      </c>
      <c r="C40" s="9">
        <v>631.20413999999994</v>
      </c>
      <c r="D40" s="9">
        <v>631.20413999999994</v>
      </c>
      <c r="E40" s="636">
        <f t="shared" si="16"/>
        <v>100</v>
      </c>
      <c r="F40" s="537">
        <f t="shared" si="17"/>
        <v>0</v>
      </c>
    </row>
    <row r="41" spans="1:8" x14ac:dyDescent="0.25">
      <c r="A41" s="645"/>
      <c r="B41" s="646" t="s">
        <v>1030</v>
      </c>
      <c r="C41" s="728">
        <f>C42+C43+C44</f>
        <v>179537.73146000001</v>
      </c>
      <c r="D41" s="728">
        <f>D42+D43+D44</f>
        <v>179537.73144</v>
      </c>
      <c r="E41" s="647">
        <f t="shared" si="10"/>
        <v>99.999999988860282</v>
      </c>
      <c r="F41" s="619">
        <f t="shared" si="11"/>
        <v>2.0000006770715117E-5</v>
      </c>
      <c r="H41" s="648"/>
    </row>
    <row r="42" spans="1:8" x14ac:dyDescent="0.25">
      <c r="A42" s="644"/>
      <c r="B42" s="649" t="s">
        <v>1028</v>
      </c>
      <c r="C42" s="731">
        <f>C30+C35+C40+C24</f>
        <v>6904.7010999999993</v>
      </c>
      <c r="D42" s="731">
        <f>D30+D35+D40+D24</f>
        <v>6904.7010999999993</v>
      </c>
      <c r="E42" s="650">
        <f t="shared" si="10"/>
        <v>100</v>
      </c>
      <c r="F42" s="651">
        <f t="shared" si="11"/>
        <v>0</v>
      </c>
    </row>
    <row r="43" spans="1:8" x14ac:dyDescent="0.25">
      <c r="A43" s="644"/>
      <c r="B43" s="652" t="s">
        <v>1027</v>
      </c>
      <c r="C43" s="732">
        <f>C16+C29+C34+C39+C23</f>
        <v>21255.37934</v>
      </c>
      <c r="D43" s="732">
        <f>D16+D29+D34+D39+D23</f>
        <v>21255.37932</v>
      </c>
      <c r="E43" s="653">
        <f t="shared" si="10"/>
        <v>99.999999905906179</v>
      </c>
      <c r="F43" s="651">
        <f t="shared" si="11"/>
        <v>1.9999999494757503E-5</v>
      </c>
    </row>
    <row r="44" spans="1:8" x14ac:dyDescent="0.25">
      <c r="A44" s="644"/>
      <c r="B44" s="652" t="s">
        <v>1026</v>
      </c>
      <c r="C44" s="732">
        <f>C15+C18+C20+C28+C33+C38+C22</f>
        <v>151377.65102000002</v>
      </c>
      <c r="D44" s="732">
        <f>D15+D18+D20+D28+D33+D38+D22</f>
        <v>151377.65102000002</v>
      </c>
      <c r="E44" s="653">
        <f>D44/C44*100</f>
        <v>100</v>
      </c>
      <c r="F44" s="651">
        <f t="shared" si="11"/>
        <v>0</v>
      </c>
    </row>
    <row r="47" spans="1:8" x14ac:dyDescent="0.25">
      <c r="C47" s="726"/>
      <c r="D47" s="726"/>
    </row>
    <row r="48" spans="1:8" x14ac:dyDescent="0.25">
      <c r="C48" s="726"/>
      <c r="D48" s="726"/>
    </row>
  </sheetData>
  <mergeCells count="13">
    <mergeCell ref="A8:F8"/>
    <mergeCell ref="A9:A10"/>
    <mergeCell ref="B9:B10"/>
    <mergeCell ref="C9:C10"/>
    <mergeCell ref="D9:D10"/>
    <mergeCell ref="E9:E10"/>
    <mergeCell ref="F9:F10"/>
    <mergeCell ref="A7:F7"/>
    <mergeCell ref="E1:F1"/>
    <mergeCell ref="A2:F2"/>
    <mergeCell ref="A3:F3"/>
    <mergeCell ref="E4:F4"/>
    <mergeCell ref="A6:F6"/>
  </mergeCells>
  <pageMargins left="0.7" right="0.7" top="0.75" bottom="0.75" header="0.3" footer="0.3"/>
  <pageSetup paperSize="9" scale="6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outlinePr summaryBelow="0" summaryRight="0"/>
    <pageSetUpPr autoPageBreaks="0" fitToPage="1"/>
  </sheetPr>
  <dimension ref="A1:CD41"/>
  <sheetViews>
    <sheetView view="pageBreakPreview" zoomScale="89" zoomScaleSheetLayoutView="89" workbookViewId="0">
      <selection activeCell="A2" sqref="A2:CD2"/>
    </sheetView>
  </sheetViews>
  <sheetFormatPr defaultColWidth="9" defaultRowHeight="11.4" customHeight="1" x14ac:dyDescent="0.2"/>
  <cols>
    <col min="1" max="8" width="1.5546875" style="812" customWidth="1"/>
    <col min="9" max="9" width="1" style="812" customWidth="1"/>
    <col min="10" max="10" width="0.5546875" style="812" customWidth="1"/>
    <col min="11" max="12" width="1.5546875" style="812" customWidth="1"/>
    <col min="13" max="13" width="5.5546875" style="812" customWidth="1"/>
    <col min="14" max="19" width="1.5546875" style="812" customWidth="1"/>
    <col min="20" max="20" width="1" style="812" customWidth="1"/>
    <col min="21" max="29" width="1.5546875" style="812" customWidth="1"/>
    <col min="30" max="30" width="0.5546875" style="812" customWidth="1"/>
    <col min="31" max="31" width="1" style="812" customWidth="1"/>
    <col min="32" max="38" width="1.5546875" style="812" customWidth="1"/>
    <col min="39" max="39" width="0.5546875" style="812" customWidth="1"/>
    <col min="40" max="41" width="1" style="812" customWidth="1"/>
    <col min="42" max="42" width="0.5546875" style="812" customWidth="1"/>
    <col min="43" max="48" width="1.5546875" style="812" customWidth="1"/>
    <col min="49" max="49" width="0.5546875" style="812" customWidth="1"/>
    <col min="50" max="50" width="1" style="812" customWidth="1"/>
    <col min="51" max="52" width="1.5546875" style="812" customWidth="1"/>
    <col min="53" max="53" width="1" style="812" customWidth="1"/>
    <col min="54" max="61" width="1.5546875" style="812" customWidth="1"/>
    <col min="62" max="62" width="1" style="812" customWidth="1"/>
    <col min="63" max="63" width="0.5546875" style="812" customWidth="1"/>
    <col min="64" max="81" width="1.5546875" style="812" customWidth="1"/>
    <col min="82" max="82" width="0.5546875" style="812" customWidth="1"/>
    <col min="83" max="16384" width="9" style="816"/>
  </cols>
  <sheetData>
    <row r="1" spans="1:82" ht="11.4" customHeight="1" x14ac:dyDescent="0.2">
      <c r="A1" s="1045" t="s">
        <v>998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  <c r="L1" s="1045"/>
      <c r="M1" s="1045"/>
      <c r="N1" s="1045"/>
      <c r="O1" s="1045"/>
      <c r="P1" s="1045"/>
      <c r="Q1" s="1045"/>
      <c r="R1" s="1045"/>
      <c r="S1" s="1045"/>
      <c r="T1" s="1045"/>
      <c r="U1" s="1045"/>
      <c r="V1" s="1045"/>
      <c r="W1" s="1045"/>
      <c r="X1" s="1045"/>
      <c r="Y1" s="1045"/>
      <c r="Z1" s="1045"/>
      <c r="AA1" s="1045"/>
      <c r="AB1" s="1045"/>
      <c r="AC1" s="1045"/>
      <c r="AD1" s="1045"/>
      <c r="AE1" s="1045"/>
      <c r="AF1" s="1045"/>
      <c r="AG1" s="1045"/>
      <c r="AH1" s="1045"/>
      <c r="AI1" s="1045"/>
      <c r="AJ1" s="1045"/>
      <c r="AK1" s="1045"/>
      <c r="AL1" s="1045"/>
      <c r="AM1" s="1045"/>
      <c r="AN1" s="1045"/>
      <c r="AO1" s="1045"/>
      <c r="AP1" s="1045"/>
      <c r="AQ1" s="1045"/>
      <c r="AR1" s="1045"/>
      <c r="AS1" s="1045"/>
      <c r="AT1" s="1045"/>
      <c r="AU1" s="1045"/>
      <c r="AV1" s="1045"/>
      <c r="AW1" s="1045"/>
      <c r="AX1" s="1045"/>
      <c r="AY1" s="1045"/>
      <c r="AZ1" s="1045"/>
      <c r="BA1" s="1045"/>
      <c r="BB1" s="1045"/>
      <c r="BC1" s="1045"/>
      <c r="BD1" s="1045"/>
      <c r="BE1" s="1045"/>
      <c r="BF1" s="1045"/>
      <c r="BG1" s="1045"/>
      <c r="BH1" s="1045"/>
      <c r="BI1" s="1045"/>
      <c r="BJ1" s="1045"/>
      <c r="BK1" s="1045"/>
      <c r="BL1" s="1045"/>
      <c r="BM1" s="1045"/>
      <c r="BN1" s="1045"/>
      <c r="BO1" s="1045"/>
      <c r="BP1" s="1045"/>
      <c r="BQ1" s="1045"/>
      <c r="BR1" s="1045"/>
      <c r="BS1" s="1045"/>
      <c r="BT1" s="1045"/>
      <c r="BU1" s="1045"/>
      <c r="BV1" s="1045"/>
      <c r="BW1" s="1045"/>
      <c r="BX1" s="1045"/>
      <c r="BY1" s="1045"/>
      <c r="BZ1" s="1045"/>
      <c r="CA1" s="1045"/>
      <c r="CB1" s="1045"/>
      <c r="CC1" s="1045"/>
      <c r="CD1" s="1045"/>
    </row>
    <row r="2" spans="1:82" ht="11.4" customHeight="1" x14ac:dyDescent="0.2">
      <c r="A2" s="1045" t="s">
        <v>887</v>
      </c>
      <c r="B2" s="1045"/>
      <c r="C2" s="1045"/>
      <c r="D2" s="1045"/>
      <c r="E2" s="1045"/>
      <c r="F2" s="1045"/>
      <c r="G2" s="1045"/>
      <c r="H2" s="1045"/>
      <c r="I2" s="1045"/>
      <c r="J2" s="1045"/>
      <c r="K2" s="1045"/>
      <c r="L2" s="1045"/>
      <c r="M2" s="1045"/>
      <c r="N2" s="1045"/>
      <c r="O2" s="1045"/>
      <c r="P2" s="1045"/>
      <c r="Q2" s="1045"/>
      <c r="R2" s="1045"/>
      <c r="S2" s="1045"/>
      <c r="T2" s="1045"/>
      <c r="U2" s="1045"/>
      <c r="V2" s="1045"/>
      <c r="W2" s="1045"/>
      <c r="X2" s="1045"/>
      <c r="Y2" s="1045"/>
      <c r="Z2" s="1045"/>
      <c r="AA2" s="1045"/>
      <c r="AB2" s="1045"/>
      <c r="AC2" s="1045"/>
      <c r="AD2" s="1045"/>
      <c r="AE2" s="1045"/>
      <c r="AF2" s="1045"/>
      <c r="AG2" s="1045"/>
      <c r="AH2" s="1045"/>
      <c r="AI2" s="1045"/>
      <c r="AJ2" s="1045"/>
      <c r="AK2" s="1045"/>
      <c r="AL2" s="1045"/>
      <c r="AM2" s="1045"/>
      <c r="AN2" s="1045"/>
      <c r="AO2" s="1045"/>
      <c r="AP2" s="1045"/>
      <c r="AQ2" s="1045"/>
      <c r="AR2" s="1045"/>
      <c r="AS2" s="1045"/>
      <c r="AT2" s="1045"/>
      <c r="AU2" s="1045"/>
      <c r="AV2" s="1045"/>
      <c r="AW2" s="1045"/>
      <c r="AX2" s="1045"/>
      <c r="AY2" s="1045"/>
      <c r="AZ2" s="1045"/>
      <c r="BA2" s="1045"/>
      <c r="BB2" s="1045"/>
      <c r="BC2" s="1045"/>
      <c r="BD2" s="1045"/>
      <c r="BE2" s="1045"/>
      <c r="BF2" s="1045"/>
      <c r="BG2" s="1045"/>
      <c r="BH2" s="1045"/>
      <c r="BI2" s="1045"/>
      <c r="BJ2" s="1045"/>
      <c r="BK2" s="1045"/>
      <c r="BL2" s="1045"/>
      <c r="BM2" s="1045"/>
      <c r="BN2" s="1045"/>
      <c r="BO2" s="1045"/>
      <c r="BP2" s="1045"/>
      <c r="BQ2" s="1045"/>
      <c r="BR2" s="1045"/>
      <c r="BS2" s="1045"/>
      <c r="BT2" s="1045"/>
      <c r="BU2" s="1045"/>
      <c r="BV2" s="1045"/>
      <c r="BW2" s="1045"/>
      <c r="BX2" s="1045"/>
      <c r="BY2" s="1045"/>
      <c r="BZ2" s="1045"/>
      <c r="CA2" s="1045"/>
      <c r="CB2" s="1045"/>
      <c r="CC2" s="1045"/>
      <c r="CD2" s="1045"/>
    </row>
    <row r="3" spans="1:82" ht="11.4" customHeight="1" x14ac:dyDescent="0.2">
      <c r="A3" s="1045" t="s">
        <v>1031</v>
      </c>
      <c r="B3" s="1045"/>
      <c r="C3" s="1045"/>
      <c r="D3" s="1045"/>
      <c r="E3" s="1045"/>
      <c r="F3" s="1045"/>
      <c r="G3" s="1045"/>
      <c r="H3" s="1045"/>
      <c r="I3" s="1045"/>
      <c r="J3" s="1045"/>
      <c r="K3" s="1045"/>
      <c r="L3" s="1045"/>
      <c r="M3" s="1045"/>
      <c r="N3" s="1045"/>
      <c r="O3" s="1045"/>
      <c r="P3" s="1045"/>
      <c r="Q3" s="1045"/>
      <c r="R3" s="1045"/>
      <c r="S3" s="1045"/>
      <c r="T3" s="1045"/>
      <c r="U3" s="1045"/>
      <c r="V3" s="1045"/>
      <c r="W3" s="1045"/>
      <c r="X3" s="1045"/>
      <c r="Y3" s="1045"/>
      <c r="Z3" s="1045"/>
      <c r="AA3" s="1045"/>
      <c r="AB3" s="1045"/>
      <c r="AC3" s="1045"/>
      <c r="AD3" s="1045"/>
      <c r="AE3" s="1045"/>
      <c r="AF3" s="1045"/>
      <c r="AG3" s="1045"/>
      <c r="AH3" s="1045"/>
      <c r="AI3" s="1045"/>
      <c r="AJ3" s="1045"/>
      <c r="AK3" s="1045"/>
      <c r="AL3" s="1045"/>
      <c r="AM3" s="1045"/>
      <c r="AN3" s="1045"/>
      <c r="AO3" s="1045"/>
      <c r="AP3" s="1045"/>
      <c r="AQ3" s="1045"/>
      <c r="AR3" s="1045"/>
      <c r="AS3" s="1045"/>
      <c r="AT3" s="1045"/>
      <c r="AU3" s="1045"/>
      <c r="AV3" s="1045"/>
      <c r="AW3" s="1045"/>
      <c r="AX3" s="1045"/>
      <c r="AY3" s="1045"/>
      <c r="AZ3" s="1045"/>
      <c r="BA3" s="1045"/>
      <c r="BB3" s="1045"/>
      <c r="BC3" s="1045"/>
      <c r="BD3" s="1045"/>
      <c r="BE3" s="1045"/>
      <c r="BF3" s="1045"/>
      <c r="BG3" s="1045"/>
      <c r="BH3" s="1045"/>
      <c r="BI3" s="1045"/>
      <c r="BJ3" s="1045"/>
      <c r="BK3" s="1045"/>
      <c r="BL3" s="1045"/>
      <c r="BM3" s="1045"/>
      <c r="BN3" s="1045"/>
      <c r="BO3" s="1045"/>
      <c r="BP3" s="1045"/>
      <c r="BQ3" s="1045"/>
      <c r="BR3" s="1045"/>
      <c r="BS3" s="1045"/>
      <c r="BT3" s="1045"/>
      <c r="BU3" s="1045"/>
      <c r="BV3" s="1045"/>
      <c r="BW3" s="1045"/>
      <c r="BX3" s="1045"/>
      <c r="BY3" s="1045"/>
      <c r="BZ3" s="1045"/>
      <c r="CA3" s="1045"/>
      <c r="CB3" s="1045"/>
      <c r="CC3" s="1045"/>
      <c r="CD3" s="1045"/>
    </row>
    <row r="4" spans="1:82" ht="11.4" customHeight="1" x14ac:dyDescent="0.2">
      <c r="A4" s="1045" t="s">
        <v>1562</v>
      </c>
      <c r="B4" s="1045"/>
      <c r="C4" s="1045"/>
      <c r="D4" s="1045"/>
      <c r="E4" s="1045"/>
      <c r="F4" s="1045"/>
      <c r="G4" s="1045"/>
      <c r="H4" s="1045"/>
      <c r="I4" s="1045"/>
      <c r="J4" s="1045"/>
      <c r="K4" s="1045"/>
      <c r="L4" s="1045"/>
      <c r="M4" s="1045"/>
      <c r="N4" s="1045"/>
      <c r="O4" s="1045"/>
      <c r="P4" s="1045"/>
      <c r="Q4" s="1045"/>
      <c r="R4" s="1045"/>
      <c r="S4" s="1045"/>
      <c r="T4" s="1045"/>
      <c r="U4" s="1045"/>
      <c r="V4" s="1045"/>
      <c r="W4" s="1045"/>
      <c r="X4" s="1045"/>
      <c r="Y4" s="1045"/>
      <c r="Z4" s="1045"/>
      <c r="AA4" s="1045"/>
      <c r="AB4" s="1045"/>
      <c r="AC4" s="1045"/>
      <c r="AD4" s="1045"/>
      <c r="AE4" s="1045"/>
      <c r="AF4" s="1045"/>
      <c r="AG4" s="1045"/>
      <c r="AH4" s="1045"/>
      <c r="AI4" s="1045"/>
      <c r="AJ4" s="1045"/>
      <c r="AK4" s="1045"/>
      <c r="AL4" s="1045"/>
      <c r="AM4" s="1045"/>
      <c r="AN4" s="1045"/>
      <c r="AO4" s="1045"/>
      <c r="AP4" s="1045"/>
      <c r="AQ4" s="1045"/>
      <c r="AR4" s="1045"/>
      <c r="AS4" s="1045"/>
      <c r="AT4" s="1045"/>
      <c r="AU4" s="1045"/>
      <c r="AV4" s="1045"/>
      <c r="AW4" s="1045"/>
      <c r="AX4" s="1045"/>
      <c r="AY4" s="1045"/>
      <c r="AZ4" s="1045"/>
      <c r="BA4" s="1045"/>
      <c r="BB4" s="1045"/>
      <c r="BC4" s="1045"/>
      <c r="BD4" s="1045"/>
      <c r="BE4" s="1045"/>
      <c r="BF4" s="1045"/>
      <c r="BG4" s="1045"/>
      <c r="BH4" s="1045"/>
      <c r="BI4" s="1045"/>
      <c r="BJ4" s="1045"/>
      <c r="BK4" s="1045"/>
      <c r="BL4" s="1045"/>
      <c r="BM4" s="1045"/>
      <c r="BN4" s="1045"/>
      <c r="BO4" s="1045"/>
      <c r="BP4" s="1045"/>
      <c r="BQ4" s="1045"/>
      <c r="BR4" s="1045"/>
      <c r="BS4" s="1045"/>
      <c r="BT4" s="1045"/>
      <c r="BU4" s="1045"/>
      <c r="BV4" s="1045"/>
      <c r="BW4" s="1045"/>
      <c r="BX4" s="1045"/>
      <c r="BY4" s="1045"/>
      <c r="BZ4" s="1045"/>
      <c r="CA4" s="1045"/>
      <c r="CB4" s="1045"/>
      <c r="CC4" s="1045"/>
      <c r="CD4" s="1045"/>
    </row>
    <row r="5" spans="1:82" ht="11.4" customHeight="1" x14ac:dyDescent="0.2">
      <c r="A5" s="1045"/>
      <c r="B5" s="1045"/>
      <c r="C5" s="1045"/>
      <c r="D5" s="1045"/>
      <c r="E5" s="1045"/>
      <c r="F5" s="1045"/>
      <c r="G5" s="1045"/>
      <c r="H5" s="1045"/>
      <c r="I5" s="1045"/>
      <c r="J5" s="1045"/>
      <c r="K5" s="1045"/>
      <c r="L5" s="1045"/>
      <c r="M5" s="1045"/>
      <c r="N5" s="1045"/>
      <c r="O5" s="1045"/>
      <c r="P5" s="1045"/>
      <c r="Q5" s="1045"/>
      <c r="R5" s="1045"/>
      <c r="S5" s="1045"/>
      <c r="T5" s="1045"/>
      <c r="U5" s="1045"/>
      <c r="V5" s="1045"/>
      <c r="W5" s="1045"/>
      <c r="X5" s="1045"/>
      <c r="Y5" s="1045"/>
      <c r="Z5" s="1045"/>
      <c r="AA5" s="1045"/>
      <c r="AB5" s="1045"/>
      <c r="AC5" s="1045"/>
      <c r="AD5" s="1045"/>
      <c r="AE5" s="1045"/>
      <c r="AF5" s="1045"/>
      <c r="AG5" s="1045"/>
      <c r="AH5" s="1045"/>
      <c r="AI5" s="1045"/>
      <c r="AJ5" s="1045"/>
      <c r="AK5" s="1045"/>
      <c r="AL5" s="1045"/>
      <c r="AM5" s="1045"/>
      <c r="AN5" s="1045"/>
      <c r="AO5" s="1045"/>
      <c r="AP5" s="1045"/>
      <c r="AQ5" s="1045"/>
      <c r="AR5" s="1045"/>
      <c r="AS5" s="1045"/>
      <c r="AT5" s="1045"/>
      <c r="AU5" s="1045"/>
      <c r="AV5" s="1045"/>
      <c r="AW5" s="1045"/>
      <c r="AX5" s="1045"/>
      <c r="AY5" s="1045"/>
      <c r="AZ5" s="1045"/>
      <c r="BA5" s="1045"/>
      <c r="BB5" s="1045"/>
      <c r="BC5" s="1045"/>
      <c r="BD5" s="1045"/>
      <c r="BE5" s="1045"/>
      <c r="BF5" s="1045"/>
      <c r="BG5" s="1045"/>
      <c r="BH5" s="1045"/>
      <c r="BI5" s="1045"/>
      <c r="BJ5" s="1045"/>
      <c r="BK5" s="1045"/>
      <c r="BL5" s="1045"/>
      <c r="BM5" s="1045"/>
      <c r="BN5" s="1045"/>
      <c r="BO5" s="1045"/>
      <c r="BP5" s="1045"/>
      <c r="BQ5" s="1045"/>
      <c r="BR5" s="1045"/>
      <c r="BS5" s="1045"/>
      <c r="BT5" s="1045"/>
      <c r="BU5" s="1045"/>
      <c r="BV5" s="1045"/>
      <c r="BW5" s="1045"/>
      <c r="BX5" s="1045"/>
      <c r="BY5" s="1045"/>
      <c r="BZ5" s="1045"/>
      <c r="CA5" s="1045"/>
      <c r="CB5" s="1045"/>
      <c r="CC5" s="1045"/>
      <c r="CD5" s="1045"/>
    </row>
    <row r="6" spans="1:82" ht="11.4" customHeight="1" x14ac:dyDescent="0.2">
      <c r="A6" s="1046" t="s">
        <v>1520</v>
      </c>
      <c r="B6" s="1046"/>
      <c r="C6" s="1046"/>
      <c r="D6" s="1046"/>
      <c r="E6" s="1046"/>
      <c r="F6" s="1046"/>
      <c r="G6" s="1046"/>
      <c r="H6" s="1046"/>
      <c r="I6" s="1046"/>
      <c r="J6" s="1046"/>
      <c r="K6" s="1046"/>
      <c r="L6" s="1046"/>
      <c r="M6" s="1046"/>
      <c r="N6" s="1046"/>
      <c r="O6" s="1046"/>
      <c r="P6" s="1046"/>
      <c r="Q6" s="1046"/>
      <c r="R6" s="1046"/>
      <c r="S6" s="1046"/>
      <c r="T6" s="1046"/>
      <c r="U6" s="1046"/>
      <c r="V6" s="1046"/>
      <c r="W6" s="1046"/>
      <c r="X6" s="1046"/>
      <c r="Y6" s="1046"/>
      <c r="Z6" s="1046"/>
      <c r="AA6" s="1046"/>
      <c r="AB6" s="1046"/>
      <c r="AC6" s="1046"/>
      <c r="AD6" s="1046"/>
      <c r="AE6" s="1046"/>
      <c r="AF6" s="1046"/>
      <c r="AG6" s="1046"/>
      <c r="AH6" s="1046"/>
      <c r="AI6" s="1046"/>
      <c r="AJ6" s="1046"/>
      <c r="AK6" s="1046"/>
      <c r="AL6" s="1046"/>
      <c r="AM6" s="1046"/>
      <c r="AN6" s="1046"/>
      <c r="AO6" s="1046"/>
      <c r="AP6" s="1046"/>
      <c r="AQ6" s="1046"/>
      <c r="AR6" s="1046"/>
      <c r="AS6" s="1046"/>
      <c r="AT6" s="1046"/>
      <c r="AU6" s="1046"/>
      <c r="AV6" s="1046"/>
      <c r="AW6" s="1046"/>
      <c r="AX6" s="1046"/>
      <c r="AY6" s="1046"/>
      <c r="AZ6" s="1046"/>
      <c r="BA6" s="1046"/>
      <c r="BB6" s="1046"/>
      <c r="BC6" s="1046"/>
      <c r="BD6" s="1046"/>
      <c r="BE6" s="1046"/>
      <c r="BF6" s="1046"/>
      <c r="BG6" s="1046"/>
      <c r="BH6" s="1046"/>
      <c r="BI6" s="1046"/>
      <c r="BJ6" s="1046"/>
      <c r="BK6" s="1046"/>
      <c r="BL6" s="1046"/>
      <c r="BM6" s="1046"/>
      <c r="BN6" s="1046"/>
      <c r="BO6" s="1046"/>
      <c r="BP6" s="1046"/>
      <c r="BQ6" s="1046"/>
      <c r="BR6" s="1046"/>
      <c r="BS6" s="1046"/>
      <c r="BT6" s="1046"/>
      <c r="BU6" s="1046"/>
      <c r="BV6" s="1046"/>
      <c r="BW6" s="1046"/>
      <c r="BX6" s="1046"/>
      <c r="BY6" s="1046"/>
      <c r="BZ6" s="1046"/>
      <c r="CA6" s="1046"/>
      <c r="CB6" s="1046"/>
      <c r="CC6" s="1046"/>
      <c r="CD6" s="1046"/>
    </row>
    <row r="7" spans="1:82" s="812" customFormat="1" ht="9.75" customHeight="1" x14ac:dyDescent="0.2">
      <c r="A7" s="1045"/>
      <c r="B7" s="1045"/>
      <c r="C7" s="1045"/>
      <c r="D7" s="1045"/>
      <c r="E7" s="1045"/>
      <c r="F7" s="1045"/>
      <c r="G7" s="1045"/>
      <c r="H7" s="1045"/>
      <c r="I7" s="1045"/>
      <c r="J7" s="1045"/>
      <c r="K7" s="1045"/>
      <c r="L7" s="1045"/>
      <c r="M7" s="1045"/>
      <c r="N7" s="1045"/>
      <c r="O7" s="1045"/>
      <c r="P7" s="1045"/>
      <c r="Q7" s="1045"/>
      <c r="R7" s="1045"/>
      <c r="S7" s="1045"/>
      <c r="T7" s="1045"/>
      <c r="U7" s="1045"/>
      <c r="V7" s="1045"/>
      <c r="W7" s="1045"/>
      <c r="X7" s="1045"/>
      <c r="Y7" s="1045"/>
      <c r="Z7" s="1045"/>
      <c r="AA7" s="1045"/>
      <c r="AB7" s="1045"/>
      <c r="AC7" s="1045"/>
      <c r="AD7" s="1045"/>
      <c r="AE7" s="1045"/>
      <c r="AF7" s="1045"/>
      <c r="AG7" s="1045"/>
      <c r="AH7" s="1045"/>
      <c r="AI7" s="1045"/>
      <c r="AJ7" s="1045"/>
      <c r="AK7" s="1045"/>
      <c r="AL7" s="1045"/>
      <c r="AM7" s="1045"/>
      <c r="AN7" s="1045"/>
      <c r="AO7" s="1045"/>
      <c r="AP7" s="1045"/>
      <c r="AQ7" s="1045"/>
      <c r="AR7" s="1045"/>
      <c r="AS7" s="1045"/>
      <c r="AT7" s="1045"/>
      <c r="AU7" s="1045"/>
      <c r="AV7" s="1045"/>
      <c r="AW7" s="1045"/>
      <c r="AX7" s="1045"/>
      <c r="AY7" s="1045"/>
      <c r="AZ7" s="1045"/>
      <c r="BA7" s="1045"/>
      <c r="BB7" s="1045"/>
      <c r="BC7" s="1045"/>
      <c r="BD7" s="1045"/>
      <c r="BE7" s="1045"/>
      <c r="BF7" s="1045"/>
      <c r="BG7" s="1045"/>
      <c r="BH7" s="1045"/>
      <c r="BI7" s="1045"/>
      <c r="BJ7" s="1045"/>
      <c r="BK7" s="1045"/>
      <c r="BL7" s="1045"/>
      <c r="BM7" s="1045"/>
      <c r="BN7" s="1045"/>
      <c r="BO7" s="1045"/>
      <c r="BP7" s="1045"/>
      <c r="BQ7" s="1045"/>
      <c r="BR7" s="1045"/>
      <c r="BS7" s="1045"/>
      <c r="BT7" s="1045"/>
      <c r="BU7" s="1045"/>
      <c r="BV7" s="1045"/>
      <c r="BW7" s="1045"/>
      <c r="BX7" s="1045"/>
      <c r="BY7" s="1045"/>
      <c r="BZ7" s="1045"/>
      <c r="CA7" s="1045"/>
      <c r="CB7" s="1045"/>
      <c r="CC7" s="1045"/>
      <c r="CD7" s="1045"/>
    </row>
    <row r="8" spans="1:82" s="813" customFormat="1" ht="18.75" customHeight="1" x14ac:dyDescent="0.3">
      <c r="A8" s="1018" t="s">
        <v>1450</v>
      </c>
      <c r="B8" s="1018"/>
      <c r="C8" s="1018"/>
      <c r="D8" s="1018"/>
      <c r="E8" s="1018"/>
      <c r="F8" s="1018"/>
      <c r="G8" s="1018"/>
      <c r="H8" s="1018"/>
      <c r="I8" s="1018"/>
      <c r="J8" s="1018"/>
      <c r="K8" s="1018"/>
      <c r="L8" s="1018"/>
      <c r="M8" s="1018"/>
      <c r="N8" s="1018"/>
      <c r="O8" s="1018"/>
      <c r="P8" s="1018"/>
      <c r="Q8" s="1018"/>
      <c r="R8" s="1018"/>
      <c r="S8" s="1018"/>
      <c r="T8" s="1018"/>
      <c r="U8" s="1017" t="s">
        <v>1451</v>
      </c>
      <c r="V8" s="1017"/>
      <c r="W8" s="1017"/>
      <c r="X8" s="1017"/>
      <c r="Y8" s="1017"/>
      <c r="Z8" s="1017"/>
      <c r="AA8" s="1017"/>
      <c r="AB8" s="1017"/>
      <c r="AC8" s="1017"/>
      <c r="AD8" s="1017"/>
      <c r="AE8" s="1017"/>
      <c r="AF8" s="1017"/>
      <c r="AG8" s="1017"/>
      <c r="AH8" s="1017"/>
      <c r="AI8" s="1017"/>
      <c r="AJ8" s="1017"/>
      <c r="AK8" s="1017"/>
      <c r="AL8" s="1017"/>
      <c r="AM8" s="1017"/>
      <c r="AN8" s="1017"/>
      <c r="AO8" s="1017"/>
      <c r="AP8" s="1017"/>
      <c r="AQ8" s="1017"/>
      <c r="AR8" s="1017"/>
      <c r="AS8" s="1017"/>
      <c r="AT8" s="1017"/>
      <c r="AU8" s="1017"/>
      <c r="AV8" s="1017"/>
      <c r="AW8" s="1017"/>
      <c r="AX8" s="1017"/>
      <c r="AY8" s="1017"/>
      <c r="AZ8" s="1017"/>
      <c r="BA8" s="1017"/>
      <c r="BB8" s="1017"/>
      <c r="BC8" s="1017"/>
      <c r="BD8" s="1017"/>
      <c r="BE8" s="1017"/>
      <c r="BF8" s="1017"/>
      <c r="BG8" s="1017"/>
      <c r="BH8" s="1017"/>
      <c r="BI8" s="1017"/>
      <c r="BJ8" s="1017"/>
      <c r="BK8" s="1017"/>
      <c r="BL8" s="1017"/>
      <c r="BM8" s="1017"/>
      <c r="BN8" s="1017"/>
      <c r="BO8" s="1017"/>
      <c r="BP8" s="1017"/>
      <c r="BQ8" s="1017"/>
      <c r="BR8" s="1017"/>
      <c r="BS8" s="1017"/>
      <c r="BT8" s="1017"/>
      <c r="BU8" s="1017"/>
      <c r="BV8" s="1017"/>
      <c r="BW8" s="1017"/>
      <c r="BX8" s="1017"/>
      <c r="BY8" s="1017"/>
      <c r="BZ8" s="1017"/>
      <c r="CA8" s="1017"/>
      <c r="CB8" s="1017"/>
      <c r="CC8" s="1017"/>
      <c r="CD8" s="1017"/>
    </row>
    <row r="9" spans="1:82" s="813" customFormat="1" ht="18.75" customHeight="1" x14ac:dyDescent="0.3">
      <c r="A9" s="1023"/>
      <c r="B9" s="1023"/>
      <c r="C9" s="1023"/>
      <c r="D9" s="1023"/>
      <c r="E9" s="1023"/>
      <c r="F9" s="1023"/>
      <c r="G9" s="1023"/>
      <c r="H9" s="1023"/>
      <c r="I9" s="1023"/>
      <c r="J9" s="1023"/>
      <c r="K9" s="1023"/>
      <c r="L9" s="1023"/>
      <c r="M9" s="1023"/>
      <c r="N9" s="1023"/>
      <c r="O9" s="1023"/>
      <c r="P9" s="1023"/>
      <c r="Q9" s="1023"/>
      <c r="R9" s="1023"/>
      <c r="S9" s="1023"/>
      <c r="T9" s="1024"/>
      <c r="U9" s="1017" t="s">
        <v>1452</v>
      </c>
      <c r="V9" s="1017"/>
      <c r="W9" s="1017"/>
      <c r="X9" s="1017"/>
      <c r="Y9" s="1017"/>
      <c r="Z9" s="1017"/>
      <c r="AA9" s="1017"/>
      <c r="AB9" s="1017"/>
      <c r="AC9" s="1017"/>
      <c r="AD9" s="1017"/>
      <c r="AE9" s="1017"/>
      <c r="AF9" s="1017"/>
      <c r="AG9" s="1017"/>
      <c r="AH9" s="1017"/>
      <c r="AI9" s="1017"/>
      <c r="AJ9" s="1017"/>
      <c r="AK9" s="1017"/>
      <c r="AL9" s="1017"/>
      <c r="AM9" s="1017"/>
      <c r="AN9" s="1017"/>
      <c r="AO9" s="1017"/>
      <c r="AP9" s="1017"/>
      <c r="AQ9" s="1017"/>
      <c r="AR9" s="1017"/>
      <c r="AS9" s="1017"/>
      <c r="AT9" s="1017"/>
      <c r="AU9" s="1017"/>
      <c r="AV9" s="1017"/>
      <c r="AW9" s="1017"/>
      <c r="AX9" s="1017"/>
      <c r="AY9" s="1017"/>
      <c r="AZ9" s="1017"/>
      <c r="BA9" s="1017" t="s">
        <v>1453</v>
      </c>
      <c r="BB9" s="1017"/>
      <c r="BC9" s="1017"/>
      <c r="BD9" s="1017"/>
      <c r="BE9" s="1017"/>
      <c r="BF9" s="1017"/>
      <c r="BG9" s="1017"/>
      <c r="BH9" s="1017"/>
      <c r="BI9" s="1017"/>
      <c r="BJ9" s="1017"/>
      <c r="BK9" s="1017"/>
      <c r="BL9" s="1017"/>
      <c r="BM9" s="1017"/>
      <c r="BN9" s="1017"/>
      <c r="BO9" s="1017"/>
      <c r="BP9" s="1017"/>
      <c r="BQ9" s="1017"/>
      <c r="BR9" s="1017"/>
      <c r="BS9" s="1017"/>
      <c r="BT9" s="1017"/>
      <c r="BU9" s="1017"/>
      <c r="BV9" s="1017"/>
      <c r="BW9" s="1017"/>
      <c r="BX9" s="1017"/>
      <c r="BY9" s="1017"/>
      <c r="BZ9" s="1017"/>
      <c r="CA9" s="1017"/>
      <c r="CB9" s="1017"/>
      <c r="CC9" s="1017"/>
      <c r="CD9" s="1017"/>
    </row>
    <row r="10" spans="1:82" s="814" customFormat="1" ht="18.75" customHeight="1" x14ac:dyDescent="0.3">
      <c r="A10" s="1023"/>
      <c r="B10" s="1023"/>
      <c r="C10" s="1023"/>
      <c r="D10" s="1023"/>
      <c r="E10" s="1023"/>
      <c r="F10" s="1023"/>
      <c r="G10" s="1023"/>
      <c r="H10" s="1023"/>
      <c r="I10" s="1023"/>
      <c r="J10" s="1023"/>
      <c r="K10" s="1023"/>
      <c r="L10" s="1023"/>
      <c r="M10" s="1023"/>
      <c r="N10" s="1023"/>
      <c r="O10" s="1023"/>
      <c r="P10" s="1023"/>
      <c r="Q10" s="1023"/>
      <c r="R10" s="1023"/>
      <c r="S10" s="1023"/>
      <c r="T10" s="1024"/>
      <c r="U10" s="1018" t="s">
        <v>1454</v>
      </c>
      <c r="V10" s="1018"/>
      <c r="W10" s="1018"/>
      <c r="X10" s="1018"/>
      <c r="Y10" s="1018"/>
      <c r="Z10" s="1018"/>
      <c r="AA10" s="1018"/>
      <c r="AB10" s="1018"/>
      <c r="AC10" s="1018"/>
      <c r="AD10" s="1018"/>
      <c r="AE10" s="1017" t="s">
        <v>1455</v>
      </c>
      <c r="AF10" s="1017"/>
      <c r="AG10" s="1017"/>
      <c r="AH10" s="1017"/>
      <c r="AI10" s="1017"/>
      <c r="AJ10" s="1017"/>
      <c r="AK10" s="1017"/>
      <c r="AL10" s="1017"/>
      <c r="AM10" s="1017"/>
      <c r="AN10" s="1017"/>
      <c r="AO10" s="1017"/>
      <c r="AP10" s="1017"/>
      <c r="AQ10" s="1017"/>
      <c r="AR10" s="1017"/>
      <c r="AS10" s="1017"/>
      <c r="AT10" s="1017"/>
      <c r="AU10" s="1017"/>
      <c r="AV10" s="1017"/>
      <c r="AW10" s="1017"/>
      <c r="AX10" s="1017"/>
      <c r="AY10" s="1017"/>
      <c r="AZ10" s="1017"/>
      <c r="BA10" s="1021" t="s">
        <v>1454</v>
      </c>
      <c r="BB10" s="1021"/>
      <c r="BC10" s="1021"/>
      <c r="BD10" s="1021"/>
      <c r="BE10" s="1021"/>
      <c r="BF10" s="1021"/>
      <c r="BG10" s="1021"/>
      <c r="BH10" s="1021"/>
      <c r="BI10" s="1021"/>
      <c r="BJ10" s="1021"/>
      <c r="BK10" s="1017" t="s">
        <v>1455</v>
      </c>
      <c r="BL10" s="1017"/>
      <c r="BM10" s="1017"/>
      <c r="BN10" s="1017"/>
      <c r="BO10" s="1017"/>
      <c r="BP10" s="1017"/>
      <c r="BQ10" s="1017"/>
      <c r="BR10" s="1017"/>
      <c r="BS10" s="1017"/>
      <c r="BT10" s="1017"/>
      <c r="BU10" s="1017"/>
      <c r="BV10" s="1017"/>
      <c r="BW10" s="1017"/>
      <c r="BX10" s="1017"/>
      <c r="BY10" s="1017"/>
      <c r="BZ10" s="1017"/>
      <c r="CA10" s="1017"/>
      <c r="CB10" s="1017"/>
      <c r="CC10" s="1017"/>
      <c r="CD10" s="1017"/>
    </row>
    <row r="11" spans="1:82" s="815" customFormat="1" ht="18.75" customHeight="1" x14ac:dyDescent="0.3">
      <c r="A11" s="1019"/>
      <c r="B11" s="1019"/>
      <c r="C11" s="1019"/>
      <c r="D11" s="1019"/>
      <c r="E11" s="1019"/>
      <c r="F11" s="1019"/>
      <c r="G11" s="1019"/>
      <c r="H11" s="1019"/>
      <c r="I11" s="1019"/>
      <c r="J11" s="1019"/>
      <c r="K11" s="1019"/>
      <c r="L11" s="1019"/>
      <c r="M11" s="1019"/>
      <c r="N11" s="1019"/>
      <c r="O11" s="1019"/>
      <c r="P11" s="1019"/>
      <c r="Q11" s="1019"/>
      <c r="R11" s="1019"/>
      <c r="S11" s="1019"/>
      <c r="T11" s="1020"/>
      <c r="U11" s="1019"/>
      <c r="V11" s="1019"/>
      <c r="W11" s="1019"/>
      <c r="X11" s="1019"/>
      <c r="Y11" s="1019"/>
      <c r="Z11" s="1019"/>
      <c r="AA11" s="1019"/>
      <c r="AB11" s="1019"/>
      <c r="AC11" s="1019"/>
      <c r="AD11" s="1020"/>
      <c r="AE11" s="1017" t="s">
        <v>1456</v>
      </c>
      <c r="AF11" s="1017"/>
      <c r="AG11" s="1017"/>
      <c r="AH11" s="1017"/>
      <c r="AI11" s="1017"/>
      <c r="AJ11" s="1017"/>
      <c r="AK11" s="1017"/>
      <c r="AL11" s="1017"/>
      <c r="AM11" s="1017"/>
      <c r="AN11" s="1017"/>
      <c r="AO11" s="1017"/>
      <c r="AP11" s="1017" t="s">
        <v>1457</v>
      </c>
      <c r="AQ11" s="1017"/>
      <c r="AR11" s="1017"/>
      <c r="AS11" s="1017"/>
      <c r="AT11" s="1017"/>
      <c r="AU11" s="1017"/>
      <c r="AV11" s="1017"/>
      <c r="AW11" s="1017"/>
      <c r="AX11" s="1017"/>
      <c r="AY11" s="1017"/>
      <c r="AZ11" s="1017"/>
      <c r="BA11" s="1022"/>
      <c r="BB11" s="1019"/>
      <c r="BC11" s="1019"/>
      <c r="BD11" s="1019"/>
      <c r="BE11" s="1019"/>
      <c r="BF11" s="1019"/>
      <c r="BG11" s="1019"/>
      <c r="BH11" s="1019"/>
      <c r="BI11" s="1019"/>
      <c r="BJ11" s="1020"/>
      <c r="BK11" s="1017" t="s">
        <v>1456</v>
      </c>
      <c r="BL11" s="1017"/>
      <c r="BM11" s="1017"/>
      <c r="BN11" s="1017"/>
      <c r="BO11" s="1017"/>
      <c r="BP11" s="1017"/>
      <c r="BQ11" s="1017"/>
      <c r="BR11" s="1017"/>
      <c r="BS11" s="1017"/>
      <c r="BT11" s="1017"/>
      <c r="BU11" s="1017" t="s">
        <v>1457</v>
      </c>
      <c r="BV11" s="1017"/>
      <c r="BW11" s="1017"/>
      <c r="BX11" s="1017"/>
      <c r="BY11" s="1017"/>
      <c r="BZ11" s="1017"/>
      <c r="CA11" s="1017"/>
      <c r="CB11" s="1017"/>
      <c r="CC11" s="1017"/>
      <c r="CD11" s="1017"/>
    </row>
    <row r="12" spans="1:82" s="815" customFormat="1" ht="18.75" customHeight="1" thickBot="1" x14ac:dyDescent="0.35">
      <c r="A12" s="1018" t="s">
        <v>1025</v>
      </c>
      <c r="B12" s="1018"/>
      <c r="C12" s="1018"/>
      <c r="D12" s="1018"/>
      <c r="E12" s="1018"/>
      <c r="F12" s="1018"/>
      <c r="G12" s="1018"/>
      <c r="H12" s="1018"/>
      <c r="I12" s="1018"/>
      <c r="J12" s="1018"/>
      <c r="K12" s="1018"/>
      <c r="L12" s="1018"/>
      <c r="M12" s="1018"/>
      <c r="N12" s="1018"/>
      <c r="O12" s="1018"/>
      <c r="P12" s="1018"/>
      <c r="Q12" s="1018"/>
      <c r="R12" s="1018"/>
      <c r="S12" s="1018"/>
      <c r="T12" s="1018"/>
      <c r="U12" s="1016" t="s">
        <v>1127</v>
      </c>
      <c r="V12" s="1016"/>
      <c r="W12" s="1016"/>
      <c r="X12" s="1016"/>
      <c r="Y12" s="1016"/>
      <c r="Z12" s="1016"/>
      <c r="AA12" s="1016"/>
      <c r="AB12" s="1016"/>
      <c r="AC12" s="1016"/>
      <c r="AD12" s="1016"/>
      <c r="AE12" s="1016" t="s">
        <v>1029</v>
      </c>
      <c r="AF12" s="1016"/>
      <c r="AG12" s="1016"/>
      <c r="AH12" s="1016"/>
      <c r="AI12" s="1016"/>
      <c r="AJ12" s="1016"/>
      <c r="AK12" s="1016"/>
      <c r="AL12" s="1016"/>
      <c r="AM12" s="1016"/>
      <c r="AN12" s="1016"/>
      <c r="AO12" s="1016"/>
      <c r="AP12" s="1016" t="s">
        <v>1458</v>
      </c>
      <c r="AQ12" s="1016"/>
      <c r="AR12" s="1016"/>
      <c r="AS12" s="1016"/>
      <c r="AT12" s="1016"/>
      <c r="AU12" s="1016"/>
      <c r="AV12" s="1016"/>
      <c r="AW12" s="1016"/>
      <c r="AX12" s="1016"/>
      <c r="AY12" s="1016"/>
      <c r="AZ12" s="1016"/>
      <c r="BA12" s="1016">
        <v>5</v>
      </c>
      <c r="BB12" s="1016"/>
      <c r="BC12" s="1016"/>
      <c r="BD12" s="1016"/>
      <c r="BE12" s="1016"/>
      <c r="BF12" s="1016"/>
      <c r="BG12" s="1016"/>
      <c r="BH12" s="1016"/>
      <c r="BI12" s="1016"/>
      <c r="BJ12" s="1016"/>
      <c r="BK12" s="1016">
        <v>6</v>
      </c>
      <c r="BL12" s="1016"/>
      <c r="BM12" s="1016"/>
      <c r="BN12" s="1016"/>
      <c r="BO12" s="1016"/>
      <c r="BP12" s="1016"/>
      <c r="BQ12" s="1016"/>
      <c r="BR12" s="1016"/>
      <c r="BS12" s="1016"/>
      <c r="BT12" s="1016"/>
      <c r="BU12" s="1016">
        <v>7</v>
      </c>
      <c r="BV12" s="1016"/>
      <c r="BW12" s="1016"/>
      <c r="BX12" s="1016"/>
      <c r="BY12" s="1016"/>
      <c r="BZ12" s="1016"/>
      <c r="CA12" s="1016"/>
      <c r="CB12" s="1016"/>
      <c r="CC12" s="1016"/>
      <c r="CD12" s="1016"/>
    </row>
    <row r="13" spans="1:82" s="815" customFormat="1" ht="18.75" customHeight="1" thickBot="1" x14ac:dyDescent="0.35">
      <c r="A13" s="1047" t="s">
        <v>1492</v>
      </c>
      <c r="B13" s="1047"/>
      <c r="C13" s="1047"/>
      <c r="D13" s="1047"/>
      <c r="E13" s="1047"/>
      <c r="F13" s="1047"/>
      <c r="G13" s="1047"/>
      <c r="H13" s="1047"/>
      <c r="I13" s="1047"/>
      <c r="J13" s="1047"/>
      <c r="K13" s="1047"/>
      <c r="L13" s="1047"/>
      <c r="M13" s="1047"/>
      <c r="N13" s="1047"/>
      <c r="O13" s="1047"/>
      <c r="P13" s="1047"/>
      <c r="Q13" s="1047"/>
      <c r="R13" s="1047"/>
      <c r="S13" s="1047"/>
      <c r="T13" s="1047"/>
      <c r="U13" s="1048">
        <f>SUM(U14:AD27)</f>
        <v>980384574.96000016</v>
      </c>
      <c r="V13" s="1048"/>
      <c r="W13" s="1048"/>
      <c r="X13" s="1048"/>
      <c r="Y13" s="1048"/>
      <c r="Z13" s="1048"/>
      <c r="AA13" s="1048"/>
      <c r="AB13" s="1048"/>
      <c r="AC13" s="1048"/>
      <c r="AD13" s="1048"/>
      <c r="AE13" s="1049">
        <f>SUM(AE14:AO27)</f>
        <v>458313050.87</v>
      </c>
      <c r="AF13" s="1050"/>
      <c r="AG13" s="1050"/>
      <c r="AH13" s="1050"/>
      <c r="AI13" s="1050"/>
      <c r="AJ13" s="1050"/>
      <c r="AK13" s="1050"/>
      <c r="AL13" s="1050"/>
      <c r="AM13" s="1050"/>
      <c r="AN13" s="1050"/>
      <c r="AO13" s="1050"/>
      <c r="AP13" s="1049">
        <f>SUM(AP14:AZ27)</f>
        <v>6566198.7300000004</v>
      </c>
      <c r="AQ13" s="1050"/>
      <c r="AR13" s="1050"/>
      <c r="AS13" s="1050"/>
      <c r="AT13" s="1050"/>
      <c r="AU13" s="1050"/>
      <c r="AV13" s="1050"/>
      <c r="AW13" s="1050"/>
      <c r="AX13" s="1050"/>
      <c r="AY13" s="1050"/>
      <c r="AZ13" s="1050"/>
      <c r="BA13" s="1049">
        <f>SUM(BA14:BJ27)</f>
        <v>1259681673.6400001</v>
      </c>
      <c r="BB13" s="1049"/>
      <c r="BC13" s="1049"/>
      <c r="BD13" s="1049"/>
      <c r="BE13" s="1049"/>
      <c r="BF13" s="1049"/>
      <c r="BG13" s="1049"/>
      <c r="BH13" s="1049"/>
      <c r="BI13" s="1049"/>
      <c r="BJ13" s="1049"/>
      <c r="BK13" s="1049">
        <f>SUM(BK14:BT27)</f>
        <v>472707357.17000002</v>
      </c>
      <c r="BL13" s="1049"/>
      <c r="BM13" s="1049"/>
      <c r="BN13" s="1049"/>
      <c r="BO13" s="1049"/>
      <c r="BP13" s="1049"/>
      <c r="BQ13" s="1049"/>
      <c r="BR13" s="1049"/>
      <c r="BS13" s="1049"/>
      <c r="BT13" s="1049"/>
      <c r="BU13" s="1044">
        <f>SUM(BU14:CD27)</f>
        <v>5908440.3800000008</v>
      </c>
      <c r="BV13" s="1044"/>
      <c r="BW13" s="1044"/>
      <c r="BX13" s="1044"/>
      <c r="BY13" s="1044"/>
      <c r="BZ13" s="1044"/>
      <c r="CA13" s="1044"/>
      <c r="CB13" s="1044"/>
      <c r="CC13" s="1044"/>
      <c r="CD13" s="1044"/>
    </row>
    <row r="14" spans="1:82" s="815" customFormat="1" ht="18.75" customHeight="1" thickTop="1" thickBot="1" x14ac:dyDescent="0.35">
      <c r="A14" s="1028" t="s">
        <v>1493</v>
      </c>
      <c r="B14" s="1028"/>
      <c r="C14" s="1028"/>
      <c r="D14" s="1028"/>
      <c r="E14" s="1028"/>
      <c r="F14" s="1028"/>
      <c r="G14" s="1028"/>
      <c r="H14" s="1028"/>
      <c r="I14" s="1028"/>
      <c r="J14" s="1028"/>
      <c r="K14" s="1028"/>
      <c r="L14" s="1028"/>
      <c r="M14" s="1028"/>
      <c r="N14" s="1029" t="s">
        <v>1462</v>
      </c>
      <c r="O14" s="1029"/>
      <c r="P14" s="1029"/>
      <c r="Q14" s="1029"/>
      <c r="R14" s="1029"/>
      <c r="S14" s="1029"/>
      <c r="T14" s="1029"/>
      <c r="U14" s="1030">
        <v>1176756.3700000001</v>
      </c>
      <c r="V14" s="1030"/>
      <c r="W14" s="1030"/>
      <c r="X14" s="1030"/>
      <c r="Y14" s="1030"/>
      <c r="Z14" s="1030"/>
      <c r="AA14" s="1030"/>
      <c r="AB14" s="1030"/>
      <c r="AC14" s="1030"/>
      <c r="AD14" s="1030"/>
      <c r="AE14" s="1026">
        <v>13862</v>
      </c>
      <c r="AF14" s="1026"/>
      <c r="AG14" s="1026"/>
      <c r="AH14" s="1026"/>
      <c r="AI14" s="1026"/>
      <c r="AJ14" s="1026"/>
      <c r="AK14" s="1026"/>
      <c r="AL14" s="1026"/>
      <c r="AM14" s="1026"/>
      <c r="AN14" s="1026"/>
      <c r="AO14" s="1026"/>
      <c r="AP14" s="1026">
        <v>1058971.3700000001</v>
      </c>
      <c r="AQ14" s="1026"/>
      <c r="AR14" s="1026"/>
      <c r="AS14" s="1026"/>
      <c r="AT14" s="1026"/>
      <c r="AU14" s="1026"/>
      <c r="AV14" s="1026"/>
      <c r="AW14" s="1026"/>
      <c r="AX14" s="1026"/>
      <c r="AY14" s="1026"/>
      <c r="AZ14" s="1026"/>
      <c r="BA14" s="1026">
        <v>1279247.31</v>
      </c>
      <c r="BB14" s="1026"/>
      <c r="BC14" s="1026"/>
      <c r="BD14" s="1026"/>
      <c r="BE14" s="1026"/>
      <c r="BF14" s="1026"/>
      <c r="BG14" s="1026"/>
      <c r="BH14" s="1026"/>
      <c r="BI14" s="1026"/>
      <c r="BJ14" s="1026"/>
      <c r="BK14" s="1027" t="s">
        <v>913</v>
      </c>
      <c r="BL14" s="1027"/>
      <c r="BM14" s="1027"/>
      <c r="BN14" s="1027"/>
      <c r="BO14" s="1027"/>
      <c r="BP14" s="1027"/>
      <c r="BQ14" s="1027"/>
      <c r="BR14" s="1027"/>
      <c r="BS14" s="1027"/>
      <c r="BT14" s="1027"/>
      <c r="BU14" s="1025">
        <v>1169355.31</v>
      </c>
      <c r="BV14" s="1025"/>
      <c r="BW14" s="1025"/>
      <c r="BX14" s="1025"/>
      <c r="BY14" s="1025"/>
      <c r="BZ14" s="1025"/>
      <c r="CA14" s="1025"/>
      <c r="CB14" s="1025"/>
      <c r="CC14" s="1025"/>
      <c r="CD14" s="1025"/>
    </row>
    <row r="15" spans="1:82" s="815" customFormat="1" ht="18.75" customHeight="1" thickTop="1" thickBot="1" x14ac:dyDescent="0.35">
      <c r="A15" s="1028" t="s">
        <v>1494</v>
      </c>
      <c r="B15" s="1028"/>
      <c r="C15" s="1028"/>
      <c r="D15" s="1028"/>
      <c r="E15" s="1028"/>
      <c r="F15" s="1028"/>
      <c r="G15" s="1028"/>
      <c r="H15" s="1028"/>
      <c r="I15" s="1028"/>
      <c r="J15" s="1028"/>
      <c r="K15" s="1028"/>
      <c r="L15" s="1028"/>
      <c r="M15" s="1028"/>
      <c r="N15" s="1029" t="s">
        <v>1463</v>
      </c>
      <c r="O15" s="1029"/>
      <c r="P15" s="1029"/>
      <c r="Q15" s="1029"/>
      <c r="R15" s="1029"/>
      <c r="S15" s="1029"/>
      <c r="T15" s="1029"/>
      <c r="U15" s="1030">
        <v>2427617.4</v>
      </c>
      <c r="V15" s="1030"/>
      <c r="W15" s="1030"/>
      <c r="X15" s="1030"/>
      <c r="Y15" s="1030"/>
      <c r="Z15" s="1030"/>
      <c r="AA15" s="1030"/>
      <c r="AB15" s="1030"/>
      <c r="AC15" s="1030"/>
      <c r="AD15" s="1030"/>
      <c r="AE15" s="1027" t="s">
        <v>913</v>
      </c>
      <c r="AF15" s="1027"/>
      <c r="AG15" s="1027"/>
      <c r="AH15" s="1027"/>
      <c r="AI15" s="1027"/>
      <c r="AJ15" s="1027"/>
      <c r="AK15" s="1027"/>
      <c r="AL15" s="1027"/>
      <c r="AM15" s="1027"/>
      <c r="AN15" s="1027"/>
      <c r="AO15" s="1027"/>
      <c r="AP15" s="1026">
        <v>210925.61</v>
      </c>
      <c r="AQ15" s="1026"/>
      <c r="AR15" s="1026"/>
      <c r="AS15" s="1026"/>
      <c r="AT15" s="1026"/>
      <c r="AU15" s="1026"/>
      <c r="AV15" s="1026"/>
      <c r="AW15" s="1026"/>
      <c r="AX15" s="1026"/>
      <c r="AY15" s="1026"/>
      <c r="AZ15" s="1026"/>
      <c r="BA15" s="1026">
        <v>1499257.91</v>
      </c>
      <c r="BB15" s="1026"/>
      <c r="BC15" s="1026"/>
      <c r="BD15" s="1026"/>
      <c r="BE15" s="1026"/>
      <c r="BF15" s="1026"/>
      <c r="BG15" s="1026"/>
      <c r="BH15" s="1026"/>
      <c r="BI15" s="1026"/>
      <c r="BJ15" s="1026"/>
      <c r="BK15" s="1027" t="s">
        <v>913</v>
      </c>
      <c r="BL15" s="1027"/>
      <c r="BM15" s="1027"/>
      <c r="BN15" s="1027"/>
      <c r="BO15" s="1027"/>
      <c r="BP15" s="1027"/>
      <c r="BQ15" s="1027"/>
      <c r="BR15" s="1027"/>
      <c r="BS15" s="1027"/>
      <c r="BT15" s="1027"/>
      <c r="BU15" s="1025">
        <v>103108.51</v>
      </c>
      <c r="BV15" s="1025"/>
      <c r="BW15" s="1025"/>
      <c r="BX15" s="1025"/>
      <c r="BY15" s="1025"/>
      <c r="BZ15" s="1025"/>
      <c r="CA15" s="1025"/>
      <c r="CB15" s="1025"/>
      <c r="CC15" s="1025"/>
      <c r="CD15" s="1025"/>
    </row>
    <row r="16" spans="1:82" s="815" customFormat="1" ht="34.5" customHeight="1" thickTop="1" thickBot="1" x14ac:dyDescent="0.35">
      <c r="A16" s="1028" t="s">
        <v>1495</v>
      </c>
      <c r="B16" s="1028"/>
      <c r="C16" s="1028"/>
      <c r="D16" s="1028"/>
      <c r="E16" s="1028"/>
      <c r="F16" s="1028"/>
      <c r="G16" s="1028"/>
      <c r="H16" s="1028"/>
      <c r="I16" s="1028"/>
      <c r="J16" s="1028"/>
      <c r="K16" s="1028"/>
      <c r="L16" s="1028"/>
      <c r="M16" s="1028"/>
      <c r="N16" s="1029" t="s">
        <v>1464</v>
      </c>
      <c r="O16" s="1029"/>
      <c r="P16" s="1029"/>
      <c r="Q16" s="1029"/>
      <c r="R16" s="1029"/>
      <c r="S16" s="1029"/>
      <c r="T16" s="1029"/>
      <c r="U16" s="1030">
        <v>60438368.43</v>
      </c>
      <c r="V16" s="1030"/>
      <c r="W16" s="1030"/>
      <c r="X16" s="1030"/>
      <c r="Y16" s="1030"/>
      <c r="Z16" s="1030"/>
      <c r="AA16" s="1030"/>
      <c r="AB16" s="1030"/>
      <c r="AC16" s="1030"/>
      <c r="AD16" s="1030"/>
      <c r="AE16" s="1027" t="s">
        <v>913</v>
      </c>
      <c r="AF16" s="1027"/>
      <c r="AG16" s="1027"/>
      <c r="AH16" s="1027"/>
      <c r="AI16" s="1027"/>
      <c r="AJ16" s="1027"/>
      <c r="AK16" s="1027"/>
      <c r="AL16" s="1027"/>
      <c r="AM16" s="1027"/>
      <c r="AN16" s="1027"/>
      <c r="AO16" s="1027"/>
      <c r="AP16" s="1026">
        <v>1712771.14</v>
      </c>
      <c r="AQ16" s="1026"/>
      <c r="AR16" s="1026"/>
      <c r="AS16" s="1026"/>
      <c r="AT16" s="1026"/>
      <c r="AU16" s="1026"/>
      <c r="AV16" s="1026"/>
      <c r="AW16" s="1026"/>
      <c r="AX16" s="1026"/>
      <c r="AY16" s="1026"/>
      <c r="AZ16" s="1026"/>
      <c r="BA16" s="1026">
        <v>66340148.340000004</v>
      </c>
      <c r="BB16" s="1026"/>
      <c r="BC16" s="1026"/>
      <c r="BD16" s="1026"/>
      <c r="BE16" s="1026"/>
      <c r="BF16" s="1026"/>
      <c r="BG16" s="1026"/>
      <c r="BH16" s="1026"/>
      <c r="BI16" s="1026"/>
      <c r="BJ16" s="1026"/>
      <c r="BK16" s="1027" t="s">
        <v>913</v>
      </c>
      <c r="BL16" s="1027"/>
      <c r="BM16" s="1027"/>
      <c r="BN16" s="1027"/>
      <c r="BO16" s="1027"/>
      <c r="BP16" s="1027"/>
      <c r="BQ16" s="1027"/>
      <c r="BR16" s="1027"/>
      <c r="BS16" s="1027"/>
      <c r="BT16" s="1027"/>
      <c r="BU16" s="1025">
        <v>1841853.79</v>
      </c>
      <c r="BV16" s="1025"/>
      <c r="BW16" s="1025"/>
      <c r="BX16" s="1025"/>
      <c r="BY16" s="1025"/>
      <c r="BZ16" s="1025"/>
      <c r="CA16" s="1025"/>
      <c r="CB16" s="1025"/>
      <c r="CC16" s="1025"/>
      <c r="CD16" s="1025"/>
    </row>
    <row r="17" spans="1:82" s="815" customFormat="1" ht="23.25" customHeight="1" thickTop="1" thickBot="1" x14ac:dyDescent="0.35">
      <c r="A17" s="1028" t="s">
        <v>1496</v>
      </c>
      <c r="B17" s="1028"/>
      <c r="C17" s="1028"/>
      <c r="D17" s="1028"/>
      <c r="E17" s="1028"/>
      <c r="F17" s="1028"/>
      <c r="G17" s="1028"/>
      <c r="H17" s="1028"/>
      <c r="I17" s="1028"/>
      <c r="J17" s="1028"/>
      <c r="K17" s="1028"/>
      <c r="L17" s="1028"/>
      <c r="M17" s="1028"/>
      <c r="N17" s="1029" t="s">
        <v>1465</v>
      </c>
      <c r="O17" s="1029"/>
      <c r="P17" s="1029"/>
      <c r="Q17" s="1029"/>
      <c r="R17" s="1029"/>
      <c r="S17" s="1029"/>
      <c r="T17" s="1029"/>
      <c r="U17" s="1030">
        <v>2871734.82</v>
      </c>
      <c r="V17" s="1030"/>
      <c r="W17" s="1030"/>
      <c r="X17" s="1030"/>
      <c r="Y17" s="1030"/>
      <c r="Z17" s="1030"/>
      <c r="AA17" s="1030"/>
      <c r="AB17" s="1030"/>
      <c r="AC17" s="1030"/>
      <c r="AD17" s="1030"/>
      <c r="AE17" s="1027" t="s">
        <v>913</v>
      </c>
      <c r="AF17" s="1027"/>
      <c r="AG17" s="1027"/>
      <c r="AH17" s="1027"/>
      <c r="AI17" s="1027"/>
      <c r="AJ17" s="1027"/>
      <c r="AK17" s="1027"/>
      <c r="AL17" s="1027"/>
      <c r="AM17" s="1027"/>
      <c r="AN17" s="1027"/>
      <c r="AO17" s="1027"/>
      <c r="AP17" s="1026">
        <v>2745629.45</v>
      </c>
      <c r="AQ17" s="1026"/>
      <c r="AR17" s="1026"/>
      <c r="AS17" s="1026"/>
      <c r="AT17" s="1026"/>
      <c r="AU17" s="1026"/>
      <c r="AV17" s="1026"/>
      <c r="AW17" s="1026"/>
      <c r="AX17" s="1026"/>
      <c r="AY17" s="1026"/>
      <c r="AZ17" s="1026"/>
      <c r="BA17" s="1026">
        <v>2050308.66</v>
      </c>
      <c r="BB17" s="1026"/>
      <c r="BC17" s="1026"/>
      <c r="BD17" s="1026"/>
      <c r="BE17" s="1026"/>
      <c r="BF17" s="1026"/>
      <c r="BG17" s="1026"/>
      <c r="BH17" s="1026"/>
      <c r="BI17" s="1026"/>
      <c r="BJ17" s="1026"/>
      <c r="BK17" s="1027" t="s">
        <v>913</v>
      </c>
      <c r="BL17" s="1027"/>
      <c r="BM17" s="1027"/>
      <c r="BN17" s="1027"/>
      <c r="BO17" s="1027"/>
      <c r="BP17" s="1027"/>
      <c r="BQ17" s="1027"/>
      <c r="BR17" s="1027"/>
      <c r="BS17" s="1027"/>
      <c r="BT17" s="1027"/>
      <c r="BU17" s="1025">
        <v>1949280.91</v>
      </c>
      <c r="BV17" s="1025"/>
      <c r="BW17" s="1025"/>
      <c r="BX17" s="1025"/>
      <c r="BY17" s="1025"/>
      <c r="BZ17" s="1025"/>
      <c r="CA17" s="1025"/>
      <c r="CB17" s="1025"/>
      <c r="CC17" s="1025"/>
      <c r="CD17" s="1025"/>
    </row>
    <row r="18" spans="1:82" s="815" customFormat="1" ht="23.25" customHeight="1" thickTop="1" thickBot="1" x14ac:dyDescent="0.35">
      <c r="A18" s="1028" t="s">
        <v>1497</v>
      </c>
      <c r="B18" s="1028"/>
      <c r="C18" s="1028"/>
      <c r="D18" s="1028"/>
      <c r="E18" s="1028"/>
      <c r="F18" s="1028"/>
      <c r="G18" s="1028"/>
      <c r="H18" s="1028"/>
      <c r="I18" s="1028"/>
      <c r="J18" s="1028"/>
      <c r="K18" s="1028"/>
      <c r="L18" s="1028"/>
      <c r="M18" s="1028"/>
      <c r="N18" s="1029" t="s">
        <v>1466</v>
      </c>
      <c r="O18" s="1029"/>
      <c r="P18" s="1029"/>
      <c r="Q18" s="1029"/>
      <c r="R18" s="1029"/>
      <c r="S18" s="1029"/>
      <c r="T18" s="1029"/>
      <c r="U18" s="1030">
        <v>152943.85</v>
      </c>
      <c r="V18" s="1030"/>
      <c r="W18" s="1030"/>
      <c r="X18" s="1030"/>
      <c r="Y18" s="1030"/>
      <c r="Z18" s="1030"/>
      <c r="AA18" s="1030"/>
      <c r="AB18" s="1030"/>
      <c r="AC18" s="1030"/>
      <c r="AD18" s="1030"/>
      <c r="AE18" s="1027" t="s">
        <v>913</v>
      </c>
      <c r="AF18" s="1027"/>
      <c r="AG18" s="1027"/>
      <c r="AH18" s="1027"/>
      <c r="AI18" s="1027"/>
      <c r="AJ18" s="1027"/>
      <c r="AK18" s="1027"/>
      <c r="AL18" s="1027"/>
      <c r="AM18" s="1027"/>
      <c r="AN18" s="1027"/>
      <c r="AO18" s="1027"/>
      <c r="AP18" s="1026">
        <v>4786.96</v>
      </c>
      <c r="AQ18" s="1026"/>
      <c r="AR18" s="1026"/>
      <c r="AS18" s="1026"/>
      <c r="AT18" s="1026"/>
      <c r="AU18" s="1026"/>
      <c r="AV18" s="1026"/>
      <c r="AW18" s="1026"/>
      <c r="AX18" s="1026"/>
      <c r="AY18" s="1026"/>
      <c r="AZ18" s="1026"/>
      <c r="BA18" s="1026">
        <v>37082.089999999997</v>
      </c>
      <c r="BB18" s="1026"/>
      <c r="BC18" s="1026"/>
      <c r="BD18" s="1026"/>
      <c r="BE18" s="1026"/>
      <c r="BF18" s="1026"/>
      <c r="BG18" s="1026"/>
      <c r="BH18" s="1026"/>
      <c r="BI18" s="1026"/>
      <c r="BJ18" s="1026"/>
      <c r="BK18" s="1027" t="s">
        <v>913</v>
      </c>
      <c r="BL18" s="1027"/>
      <c r="BM18" s="1027"/>
      <c r="BN18" s="1027"/>
      <c r="BO18" s="1027"/>
      <c r="BP18" s="1027"/>
      <c r="BQ18" s="1027"/>
      <c r="BR18" s="1027"/>
      <c r="BS18" s="1027"/>
      <c r="BT18" s="1027"/>
      <c r="BU18" s="1025">
        <v>2822.8</v>
      </c>
      <c r="BV18" s="1025"/>
      <c r="BW18" s="1025"/>
      <c r="BX18" s="1025"/>
      <c r="BY18" s="1025"/>
      <c r="BZ18" s="1025"/>
      <c r="CA18" s="1025"/>
      <c r="CB18" s="1025"/>
      <c r="CC18" s="1025"/>
      <c r="CD18" s="1025"/>
    </row>
    <row r="19" spans="1:82" s="815" customFormat="1" ht="23.25" customHeight="1" thickTop="1" thickBot="1" x14ac:dyDescent="0.35">
      <c r="A19" s="1028" t="s">
        <v>1498</v>
      </c>
      <c r="B19" s="1028"/>
      <c r="C19" s="1028"/>
      <c r="D19" s="1028"/>
      <c r="E19" s="1028"/>
      <c r="F19" s="1028"/>
      <c r="G19" s="1028"/>
      <c r="H19" s="1028"/>
      <c r="I19" s="1028"/>
      <c r="J19" s="1028"/>
      <c r="K19" s="1028"/>
      <c r="L19" s="1028"/>
      <c r="M19" s="1028"/>
      <c r="N19" s="1029">
        <v>120535000</v>
      </c>
      <c r="O19" s="1029"/>
      <c r="P19" s="1029"/>
      <c r="Q19" s="1029"/>
      <c r="R19" s="1029"/>
      <c r="S19" s="1029"/>
      <c r="T19" s="1029"/>
      <c r="U19" s="1030">
        <v>68284.83</v>
      </c>
      <c r="V19" s="1030"/>
      <c r="W19" s="1030"/>
      <c r="X19" s="1030"/>
      <c r="Y19" s="1030"/>
      <c r="Z19" s="1030"/>
      <c r="AA19" s="1030"/>
      <c r="AB19" s="1030"/>
      <c r="AC19" s="1030"/>
      <c r="AD19" s="1030"/>
      <c r="AE19" s="1027" t="s">
        <v>913</v>
      </c>
      <c r="AF19" s="1027"/>
      <c r="AG19" s="1027"/>
      <c r="AH19" s="1027"/>
      <c r="AI19" s="1027"/>
      <c r="AJ19" s="1027"/>
      <c r="AK19" s="1027"/>
      <c r="AL19" s="1027"/>
      <c r="AM19" s="1027"/>
      <c r="AN19" s="1027"/>
      <c r="AO19" s="1027"/>
      <c r="AP19" s="1026">
        <v>25911.17</v>
      </c>
      <c r="AQ19" s="1026"/>
      <c r="AR19" s="1026"/>
      <c r="AS19" s="1026"/>
      <c r="AT19" s="1026"/>
      <c r="AU19" s="1026"/>
      <c r="AV19" s="1026"/>
      <c r="AW19" s="1026"/>
      <c r="AX19" s="1026"/>
      <c r="AY19" s="1026"/>
      <c r="AZ19" s="1026"/>
      <c r="BA19" s="1026">
        <v>46221.97</v>
      </c>
      <c r="BB19" s="1026"/>
      <c r="BC19" s="1026"/>
      <c r="BD19" s="1026"/>
      <c r="BE19" s="1026"/>
      <c r="BF19" s="1026"/>
      <c r="BG19" s="1026"/>
      <c r="BH19" s="1026"/>
      <c r="BI19" s="1026"/>
      <c r="BJ19" s="1026"/>
      <c r="BK19" s="1027" t="s">
        <v>913</v>
      </c>
      <c r="BL19" s="1027"/>
      <c r="BM19" s="1027"/>
      <c r="BN19" s="1027"/>
      <c r="BO19" s="1027"/>
      <c r="BP19" s="1027"/>
      <c r="BQ19" s="1027"/>
      <c r="BR19" s="1027"/>
      <c r="BS19" s="1027"/>
      <c r="BT19" s="1027"/>
      <c r="BU19" s="1025">
        <v>34816.03</v>
      </c>
      <c r="BV19" s="1025"/>
      <c r="BW19" s="1025"/>
      <c r="BX19" s="1025"/>
      <c r="BY19" s="1025"/>
      <c r="BZ19" s="1025"/>
      <c r="CA19" s="1025"/>
      <c r="CB19" s="1025"/>
      <c r="CC19" s="1025"/>
      <c r="CD19" s="1025"/>
    </row>
    <row r="20" spans="1:82" s="815" customFormat="1" ht="42.75" customHeight="1" thickTop="1" thickBot="1" x14ac:dyDescent="0.35">
      <c r="A20" s="1028" t="s">
        <v>1499</v>
      </c>
      <c r="B20" s="1028"/>
      <c r="C20" s="1028"/>
      <c r="D20" s="1028"/>
      <c r="E20" s="1028"/>
      <c r="F20" s="1028"/>
      <c r="G20" s="1028"/>
      <c r="H20" s="1028"/>
      <c r="I20" s="1028"/>
      <c r="J20" s="1028"/>
      <c r="K20" s="1028"/>
      <c r="L20" s="1028"/>
      <c r="M20" s="1028"/>
      <c r="N20" s="1029" t="s">
        <v>1468</v>
      </c>
      <c r="O20" s="1029"/>
      <c r="P20" s="1029"/>
      <c r="Q20" s="1029"/>
      <c r="R20" s="1029"/>
      <c r="S20" s="1029"/>
      <c r="T20" s="1029"/>
      <c r="U20" s="1030">
        <v>841272461.83000004</v>
      </c>
      <c r="V20" s="1030"/>
      <c r="W20" s="1030"/>
      <c r="X20" s="1030"/>
      <c r="Y20" s="1030"/>
      <c r="Z20" s="1030"/>
      <c r="AA20" s="1030"/>
      <c r="AB20" s="1030"/>
      <c r="AC20" s="1030"/>
      <c r="AD20" s="1030"/>
      <c r="AE20" s="1026">
        <v>438299188.87</v>
      </c>
      <c r="AF20" s="1026"/>
      <c r="AG20" s="1026"/>
      <c r="AH20" s="1026"/>
      <c r="AI20" s="1026"/>
      <c r="AJ20" s="1026"/>
      <c r="AK20" s="1026"/>
      <c r="AL20" s="1026"/>
      <c r="AM20" s="1026"/>
      <c r="AN20" s="1026"/>
      <c r="AO20" s="1026"/>
      <c r="AP20" s="1027" t="s">
        <v>913</v>
      </c>
      <c r="AQ20" s="1027"/>
      <c r="AR20" s="1027"/>
      <c r="AS20" s="1027"/>
      <c r="AT20" s="1027"/>
      <c r="AU20" s="1027"/>
      <c r="AV20" s="1027"/>
      <c r="AW20" s="1027"/>
      <c r="AX20" s="1027"/>
      <c r="AY20" s="1027"/>
      <c r="AZ20" s="1027"/>
      <c r="BA20" s="1026">
        <v>1148051487.6900001</v>
      </c>
      <c r="BB20" s="1026"/>
      <c r="BC20" s="1026"/>
      <c r="BD20" s="1026"/>
      <c r="BE20" s="1026"/>
      <c r="BF20" s="1026"/>
      <c r="BG20" s="1026"/>
      <c r="BH20" s="1026"/>
      <c r="BI20" s="1026"/>
      <c r="BJ20" s="1026"/>
      <c r="BK20" s="1026">
        <v>472707357.17000002</v>
      </c>
      <c r="BL20" s="1026"/>
      <c r="BM20" s="1026"/>
      <c r="BN20" s="1026"/>
      <c r="BO20" s="1026"/>
      <c r="BP20" s="1026"/>
      <c r="BQ20" s="1026"/>
      <c r="BR20" s="1026"/>
      <c r="BS20" s="1026"/>
      <c r="BT20" s="1026"/>
      <c r="BU20" s="1031" t="s">
        <v>913</v>
      </c>
      <c r="BV20" s="1031"/>
      <c r="BW20" s="1031"/>
      <c r="BX20" s="1031"/>
      <c r="BY20" s="1031"/>
      <c r="BZ20" s="1031"/>
      <c r="CA20" s="1031"/>
      <c r="CB20" s="1031"/>
      <c r="CC20" s="1031"/>
      <c r="CD20" s="1031"/>
    </row>
    <row r="21" spans="1:82" s="815" customFormat="1" ht="56.25" customHeight="1" thickTop="1" thickBot="1" x14ac:dyDescent="0.35">
      <c r="A21" s="1028" t="s">
        <v>1500</v>
      </c>
      <c r="B21" s="1028"/>
      <c r="C21" s="1028"/>
      <c r="D21" s="1028"/>
      <c r="E21" s="1028"/>
      <c r="F21" s="1028"/>
      <c r="G21" s="1028"/>
      <c r="H21" s="1028"/>
      <c r="I21" s="1028"/>
      <c r="J21" s="1028"/>
      <c r="K21" s="1028"/>
      <c r="L21" s="1028"/>
      <c r="M21" s="1028"/>
      <c r="N21" s="1029" t="s">
        <v>1469</v>
      </c>
      <c r="O21" s="1029"/>
      <c r="P21" s="1029"/>
      <c r="Q21" s="1029"/>
      <c r="R21" s="1029"/>
      <c r="S21" s="1029"/>
      <c r="T21" s="1029"/>
      <c r="U21" s="1030">
        <v>668817.56999999995</v>
      </c>
      <c r="V21" s="1030"/>
      <c r="W21" s="1030"/>
      <c r="X21" s="1030"/>
      <c r="Y21" s="1030"/>
      <c r="Z21" s="1030"/>
      <c r="AA21" s="1030"/>
      <c r="AB21" s="1030"/>
      <c r="AC21" s="1030"/>
      <c r="AD21" s="1030"/>
      <c r="AE21" s="1027" t="s">
        <v>913</v>
      </c>
      <c r="AF21" s="1027"/>
      <c r="AG21" s="1027"/>
      <c r="AH21" s="1027"/>
      <c r="AI21" s="1027"/>
      <c r="AJ21" s="1027"/>
      <c r="AK21" s="1027"/>
      <c r="AL21" s="1027"/>
      <c r="AM21" s="1027"/>
      <c r="AN21" s="1027"/>
      <c r="AO21" s="1027"/>
      <c r="AP21" s="1027" t="s">
        <v>913</v>
      </c>
      <c r="AQ21" s="1027"/>
      <c r="AR21" s="1027"/>
      <c r="AS21" s="1027"/>
      <c r="AT21" s="1027"/>
      <c r="AU21" s="1027"/>
      <c r="AV21" s="1027"/>
      <c r="AW21" s="1027"/>
      <c r="AX21" s="1027"/>
      <c r="AY21" s="1027"/>
      <c r="AZ21" s="1027"/>
      <c r="BA21" s="1026">
        <v>7498634.9800000004</v>
      </c>
      <c r="BB21" s="1026"/>
      <c r="BC21" s="1026"/>
      <c r="BD21" s="1026"/>
      <c r="BE21" s="1026"/>
      <c r="BF21" s="1026"/>
      <c r="BG21" s="1026"/>
      <c r="BH21" s="1026"/>
      <c r="BI21" s="1026"/>
      <c r="BJ21" s="1026"/>
      <c r="BK21" s="1027" t="s">
        <v>913</v>
      </c>
      <c r="BL21" s="1027"/>
      <c r="BM21" s="1027"/>
      <c r="BN21" s="1027"/>
      <c r="BO21" s="1027"/>
      <c r="BP21" s="1027"/>
      <c r="BQ21" s="1027"/>
      <c r="BR21" s="1027"/>
      <c r="BS21" s="1027"/>
      <c r="BT21" s="1027"/>
      <c r="BU21" s="1031" t="s">
        <v>913</v>
      </c>
      <c r="BV21" s="1031"/>
      <c r="BW21" s="1031"/>
      <c r="BX21" s="1031"/>
      <c r="BY21" s="1031"/>
      <c r="BZ21" s="1031"/>
      <c r="CA21" s="1031"/>
      <c r="CB21" s="1031"/>
      <c r="CC21" s="1031"/>
      <c r="CD21" s="1031"/>
    </row>
    <row r="22" spans="1:82" s="815" customFormat="1" ht="58.5" customHeight="1" thickTop="1" thickBot="1" x14ac:dyDescent="0.35">
      <c r="A22" s="1028" t="s">
        <v>1501</v>
      </c>
      <c r="B22" s="1028"/>
      <c r="C22" s="1028"/>
      <c r="D22" s="1028"/>
      <c r="E22" s="1028"/>
      <c r="F22" s="1028"/>
      <c r="G22" s="1028"/>
      <c r="H22" s="1028"/>
      <c r="I22" s="1028"/>
      <c r="J22" s="1028"/>
      <c r="K22" s="1028"/>
      <c r="L22" s="1028"/>
      <c r="M22" s="1028"/>
      <c r="N22" s="1029" t="s">
        <v>1470</v>
      </c>
      <c r="O22" s="1029"/>
      <c r="P22" s="1029"/>
      <c r="Q22" s="1029"/>
      <c r="R22" s="1029"/>
      <c r="S22" s="1029"/>
      <c r="T22" s="1029"/>
      <c r="U22" s="1030">
        <v>68362495.280000001</v>
      </c>
      <c r="V22" s="1030"/>
      <c r="W22" s="1030"/>
      <c r="X22" s="1030"/>
      <c r="Y22" s="1030"/>
      <c r="Z22" s="1030"/>
      <c r="AA22" s="1030"/>
      <c r="AB22" s="1030"/>
      <c r="AC22" s="1030"/>
      <c r="AD22" s="1030"/>
      <c r="AE22" s="1026">
        <v>20000000</v>
      </c>
      <c r="AF22" s="1026"/>
      <c r="AG22" s="1026"/>
      <c r="AH22" s="1026"/>
      <c r="AI22" s="1026"/>
      <c r="AJ22" s="1026"/>
      <c r="AK22" s="1026"/>
      <c r="AL22" s="1026"/>
      <c r="AM22" s="1026"/>
      <c r="AN22" s="1026"/>
      <c r="AO22" s="1026"/>
      <c r="AP22" s="1027" t="s">
        <v>913</v>
      </c>
      <c r="AQ22" s="1027"/>
      <c r="AR22" s="1027"/>
      <c r="AS22" s="1027"/>
      <c r="AT22" s="1027"/>
      <c r="AU22" s="1027"/>
      <c r="AV22" s="1027"/>
      <c r="AW22" s="1027"/>
      <c r="AX22" s="1027"/>
      <c r="AY22" s="1027"/>
      <c r="AZ22" s="1027"/>
      <c r="BA22" s="1026">
        <v>31146963.66</v>
      </c>
      <c r="BB22" s="1026"/>
      <c r="BC22" s="1026"/>
      <c r="BD22" s="1026"/>
      <c r="BE22" s="1026"/>
      <c r="BF22" s="1026"/>
      <c r="BG22" s="1026"/>
      <c r="BH22" s="1026"/>
      <c r="BI22" s="1026"/>
      <c r="BJ22" s="1026"/>
      <c r="BK22" s="1027" t="s">
        <v>913</v>
      </c>
      <c r="BL22" s="1027"/>
      <c r="BM22" s="1027"/>
      <c r="BN22" s="1027"/>
      <c r="BO22" s="1027"/>
      <c r="BP22" s="1027"/>
      <c r="BQ22" s="1027"/>
      <c r="BR22" s="1027"/>
      <c r="BS22" s="1027"/>
      <c r="BT22" s="1027"/>
      <c r="BU22" s="1031" t="s">
        <v>913</v>
      </c>
      <c r="BV22" s="1031"/>
      <c r="BW22" s="1031"/>
      <c r="BX22" s="1031"/>
      <c r="BY22" s="1031"/>
      <c r="BZ22" s="1031"/>
      <c r="CA22" s="1031"/>
      <c r="CB22" s="1031"/>
      <c r="CC22" s="1031"/>
      <c r="CD22" s="1031"/>
    </row>
    <row r="23" spans="1:82" s="815" customFormat="1" ht="34.5" customHeight="1" thickTop="1" thickBot="1" x14ac:dyDescent="0.35">
      <c r="A23" s="1028" t="s">
        <v>1502</v>
      </c>
      <c r="B23" s="1028"/>
      <c r="C23" s="1028"/>
      <c r="D23" s="1028"/>
      <c r="E23" s="1028"/>
      <c r="F23" s="1028"/>
      <c r="G23" s="1028"/>
      <c r="H23" s="1028"/>
      <c r="I23" s="1028"/>
      <c r="J23" s="1028"/>
      <c r="K23" s="1028"/>
      <c r="L23" s="1028"/>
      <c r="M23" s="1028"/>
      <c r="N23" s="1029" t="s">
        <v>1471</v>
      </c>
      <c r="O23" s="1029"/>
      <c r="P23" s="1029"/>
      <c r="Q23" s="1029"/>
      <c r="R23" s="1029"/>
      <c r="S23" s="1029"/>
      <c r="T23" s="1029"/>
      <c r="U23" s="1030">
        <v>485150</v>
      </c>
      <c r="V23" s="1030"/>
      <c r="W23" s="1030"/>
      <c r="X23" s="1030"/>
      <c r="Y23" s="1030"/>
      <c r="Z23" s="1030"/>
      <c r="AA23" s="1030"/>
      <c r="AB23" s="1030"/>
      <c r="AC23" s="1030"/>
      <c r="AD23" s="1030"/>
      <c r="AE23" s="1027" t="s">
        <v>913</v>
      </c>
      <c r="AF23" s="1027"/>
      <c r="AG23" s="1027"/>
      <c r="AH23" s="1027"/>
      <c r="AI23" s="1027"/>
      <c r="AJ23" s="1027"/>
      <c r="AK23" s="1027"/>
      <c r="AL23" s="1027"/>
      <c r="AM23" s="1027"/>
      <c r="AN23" s="1027"/>
      <c r="AO23" s="1027"/>
      <c r="AP23" s="1027" t="s">
        <v>913</v>
      </c>
      <c r="AQ23" s="1027"/>
      <c r="AR23" s="1027"/>
      <c r="AS23" s="1027"/>
      <c r="AT23" s="1027"/>
      <c r="AU23" s="1027"/>
      <c r="AV23" s="1027"/>
      <c r="AW23" s="1027"/>
      <c r="AX23" s="1027"/>
      <c r="AY23" s="1027"/>
      <c r="AZ23" s="1027"/>
      <c r="BA23" s="1027" t="s">
        <v>913</v>
      </c>
      <c r="BB23" s="1027"/>
      <c r="BC23" s="1027"/>
      <c r="BD23" s="1027"/>
      <c r="BE23" s="1027"/>
      <c r="BF23" s="1027"/>
      <c r="BG23" s="1027"/>
      <c r="BH23" s="1027"/>
      <c r="BI23" s="1027"/>
      <c r="BJ23" s="1027"/>
      <c r="BK23" s="1027" t="s">
        <v>913</v>
      </c>
      <c r="BL23" s="1027"/>
      <c r="BM23" s="1027"/>
      <c r="BN23" s="1027"/>
      <c r="BO23" s="1027"/>
      <c r="BP23" s="1027"/>
      <c r="BQ23" s="1027"/>
      <c r="BR23" s="1027"/>
      <c r="BS23" s="1027"/>
      <c r="BT23" s="1027"/>
      <c r="BU23" s="1031" t="s">
        <v>913</v>
      </c>
      <c r="BV23" s="1031"/>
      <c r="BW23" s="1031"/>
      <c r="BX23" s="1031"/>
      <c r="BY23" s="1031"/>
      <c r="BZ23" s="1031"/>
      <c r="CA23" s="1031"/>
      <c r="CB23" s="1031"/>
      <c r="CC23" s="1031"/>
      <c r="CD23" s="1031"/>
    </row>
    <row r="24" spans="1:82" s="815" customFormat="1" ht="14.25" customHeight="1" thickTop="1" thickBot="1" x14ac:dyDescent="0.35">
      <c r="A24" s="1028" t="s">
        <v>1504</v>
      </c>
      <c r="B24" s="1028"/>
      <c r="C24" s="1028"/>
      <c r="D24" s="1028"/>
      <c r="E24" s="1028"/>
      <c r="F24" s="1028"/>
      <c r="G24" s="1028"/>
      <c r="H24" s="1028"/>
      <c r="I24" s="1028"/>
      <c r="J24" s="1028"/>
      <c r="K24" s="1028"/>
      <c r="L24" s="1028"/>
      <c r="M24" s="1028"/>
      <c r="N24" s="1029" t="s">
        <v>1473</v>
      </c>
      <c r="O24" s="1029"/>
      <c r="P24" s="1029"/>
      <c r="Q24" s="1029"/>
      <c r="R24" s="1029"/>
      <c r="S24" s="1029"/>
      <c r="T24" s="1029"/>
      <c r="U24" s="1032">
        <v>854.5</v>
      </c>
      <c r="V24" s="1032"/>
      <c r="W24" s="1032"/>
      <c r="X24" s="1032"/>
      <c r="Y24" s="1032"/>
      <c r="Z24" s="1032"/>
      <c r="AA24" s="1032"/>
      <c r="AB24" s="1032"/>
      <c r="AC24" s="1032"/>
      <c r="AD24" s="1032"/>
      <c r="AE24" s="1027" t="s">
        <v>913</v>
      </c>
      <c r="AF24" s="1027"/>
      <c r="AG24" s="1027"/>
      <c r="AH24" s="1027"/>
      <c r="AI24" s="1027"/>
      <c r="AJ24" s="1027"/>
      <c r="AK24" s="1027"/>
      <c r="AL24" s="1027"/>
      <c r="AM24" s="1027"/>
      <c r="AN24" s="1027"/>
      <c r="AO24" s="1027"/>
      <c r="AP24" s="1027" t="s">
        <v>913</v>
      </c>
      <c r="AQ24" s="1027"/>
      <c r="AR24" s="1027"/>
      <c r="AS24" s="1027"/>
      <c r="AT24" s="1027"/>
      <c r="AU24" s="1027"/>
      <c r="AV24" s="1027"/>
      <c r="AW24" s="1027"/>
      <c r="AX24" s="1027"/>
      <c r="AY24" s="1027"/>
      <c r="AZ24" s="1027"/>
      <c r="BA24" s="1026">
        <v>1559.7</v>
      </c>
      <c r="BB24" s="1026"/>
      <c r="BC24" s="1026"/>
      <c r="BD24" s="1026"/>
      <c r="BE24" s="1026"/>
      <c r="BF24" s="1026"/>
      <c r="BG24" s="1026"/>
      <c r="BH24" s="1026"/>
      <c r="BI24" s="1026"/>
      <c r="BJ24" s="1026"/>
      <c r="BK24" s="1027" t="s">
        <v>913</v>
      </c>
      <c r="BL24" s="1027"/>
      <c r="BM24" s="1027"/>
      <c r="BN24" s="1027"/>
      <c r="BO24" s="1027"/>
      <c r="BP24" s="1027"/>
      <c r="BQ24" s="1027"/>
      <c r="BR24" s="1027"/>
      <c r="BS24" s="1027"/>
      <c r="BT24" s="1027"/>
      <c r="BU24" s="1031" t="s">
        <v>913</v>
      </c>
      <c r="BV24" s="1031"/>
      <c r="BW24" s="1031"/>
      <c r="BX24" s="1031"/>
      <c r="BY24" s="1031"/>
      <c r="BZ24" s="1031"/>
      <c r="CA24" s="1031"/>
      <c r="CB24" s="1031"/>
      <c r="CC24" s="1031"/>
      <c r="CD24" s="1031"/>
    </row>
    <row r="25" spans="1:82" s="815" customFormat="1" ht="36.75" customHeight="1" thickTop="1" thickBot="1" x14ac:dyDescent="0.35">
      <c r="A25" s="1028" t="s">
        <v>1519</v>
      </c>
      <c r="B25" s="1028"/>
      <c r="C25" s="1028"/>
      <c r="D25" s="1028"/>
      <c r="E25" s="1028"/>
      <c r="F25" s="1028"/>
      <c r="G25" s="1028"/>
      <c r="H25" s="1028"/>
      <c r="I25" s="1028"/>
      <c r="J25" s="1028"/>
      <c r="K25" s="1028"/>
      <c r="L25" s="1028"/>
      <c r="M25" s="1028"/>
      <c r="N25" s="1029" t="s">
        <v>1484</v>
      </c>
      <c r="O25" s="1029"/>
      <c r="P25" s="1029"/>
      <c r="Q25" s="1029"/>
      <c r="R25" s="1029"/>
      <c r="S25" s="1029"/>
      <c r="T25" s="1029"/>
      <c r="U25" s="1030">
        <v>1651887.05</v>
      </c>
      <c r="V25" s="1030"/>
      <c r="W25" s="1030"/>
      <c r="X25" s="1030"/>
      <c r="Y25" s="1030"/>
      <c r="Z25" s="1030"/>
      <c r="AA25" s="1030"/>
      <c r="AB25" s="1030"/>
      <c r="AC25" s="1030"/>
      <c r="AD25" s="1030"/>
      <c r="AE25" s="1027" t="s">
        <v>913</v>
      </c>
      <c r="AF25" s="1027"/>
      <c r="AG25" s="1027"/>
      <c r="AH25" s="1027"/>
      <c r="AI25" s="1027"/>
      <c r="AJ25" s="1027"/>
      <c r="AK25" s="1027"/>
      <c r="AL25" s="1027"/>
      <c r="AM25" s="1027"/>
      <c r="AN25" s="1027"/>
      <c r="AO25" s="1027"/>
      <c r="AP25" s="1027" t="s">
        <v>913</v>
      </c>
      <c r="AQ25" s="1027"/>
      <c r="AR25" s="1027"/>
      <c r="AS25" s="1027"/>
      <c r="AT25" s="1027"/>
      <c r="AU25" s="1027"/>
      <c r="AV25" s="1027"/>
      <c r="AW25" s="1027"/>
      <c r="AX25" s="1027"/>
      <c r="AY25" s="1027"/>
      <c r="AZ25" s="1027"/>
      <c r="BA25" s="1026">
        <v>923558.3</v>
      </c>
      <c r="BB25" s="1026"/>
      <c r="BC25" s="1026"/>
      <c r="BD25" s="1026"/>
      <c r="BE25" s="1026"/>
      <c r="BF25" s="1026"/>
      <c r="BG25" s="1026"/>
      <c r="BH25" s="1026"/>
      <c r="BI25" s="1026"/>
      <c r="BJ25" s="1026"/>
      <c r="BK25" s="1027" t="s">
        <v>913</v>
      </c>
      <c r="BL25" s="1027"/>
      <c r="BM25" s="1027"/>
      <c r="BN25" s="1027"/>
      <c r="BO25" s="1027"/>
      <c r="BP25" s="1027"/>
      <c r="BQ25" s="1027"/>
      <c r="BR25" s="1027"/>
      <c r="BS25" s="1027"/>
      <c r="BT25" s="1027"/>
      <c r="BU25" s="1031" t="s">
        <v>913</v>
      </c>
      <c r="BV25" s="1031"/>
      <c r="BW25" s="1031"/>
      <c r="BX25" s="1031"/>
      <c r="BY25" s="1031"/>
      <c r="BZ25" s="1031"/>
      <c r="CA25" s="1031"/>
      <c r="CB25" s="1031"/>
      <c r="CC25" s="1031"/>
      <c r="CD25" s="1031"/>
    </row>
    <row r="26" spans="1:82" s="815" customFormat="1" ht="48" customHeight="1" thickTop="1" thickBot="1" x14ac:dyDescent="0.35">
      <c r="A26" s="1028" t="s">
        <v>1517</v>
      </c>
      <c r="B26" s="1028"/>
      <c r="C26" s="1028"/>
      <c r="D26" s="1028"/>
      <c r="E26" s="1028"/>
      <c r="F26" s="1028"/>
      <c r="G26" s="1028"/>
      <c r="H26" s="1028"/>
      <c r="I26" s="1028"/>
      <c r="J26" s="1028"/>
      <c r="K26" s="1028"/>
      <c r="L26" s="1028"/>
      <c r="M26" s="1028"/>
      <c r="N26" s="1029" t="s">
        <v>1485</v>
      </c>
      <c r="O26" s="1029"/>
      <c r="P26" s="1029"/>
      <c r="Q26" s="1029"/>
      <c r="R26" s="1029"/>
      <c r="S26" s="1029"/>
      <c r="T26" s="1029"/>
      <c r="U26" s="1030">
        <v>712050.07</v>
      </c>
      <c r="V26" s="1030"/>
      <c r="W26" s="1030"/>
      <c r="X26" s="1030"/>
      <c r="Y26" s="1030"/>
      <c r="Z26" s="1030"/>
      <c r="AA26" s="1030"/>
      <c r="AB26" s="1030"/>
      <c r="AC26" s="1030"/>
      <c r="AD26" s="1030"/>
      <c r="AE26" s="1027" t="s">
        <v>913</v>
      </c>
      <c r="AF26" s="1027"/>
      <c r="AG26" s="1027"/>
      <c r="AH26" s="1027"/>
      <c r="AI26" s="1027"/>
      <c r="AJ26" s="1027"/>
      <c r="AK26" s="1027"/>
      <c r="AL26" s="1027"/>
      <c r="AM26" s="1027"/>
      <c r="AN26" s="1027"/>
      <c r="AO26" s="1027"/>
      <c r="AP26" s="1026">
        <v>712050.07</v>
      </c>
      <c r="AQ26" s="1026"/>
      <c r="AR26" s="1026"/>
      <c r="AS26" s="1026"/>
      <c r="AT26" s="1026"/>
      <c r="AU26" s="1026"/>
      <c r="AV26" s="1026"/>
      <c r="AW26" s="1026"/>
      <c r="AX26" s="1026"/>
      <c r="AY26" s="1026"/>
      <c r="AZ26" s="1026"/>
      <c r="BA26" s="1026">
        <v>712050.07</v>
      </c>
      <c r="BB26" s="1026"/>
      <c r="BC26" s="1026"/>
      <c r="BD26" s="1026"/>
      <c r="BE26" s="1026"/>
      <c r="BF26" s="1026"/>
      <c r="BG26" s="1026"/>
      <c r="BH26" s="1026"/>
      <c r="BI26" s="1026"/>
      <c r="BJ26" s="1026"/>
      <c r="BK26" s="1027" t="s">
        <v>913</v>
      </c>
      <c r="BL26" s="1027"/>
      <c r="BM26" s="1027"/>
      <c r="BN26" s="1027"/>
      <c r="BO26" s="1027"/>
      <c r="BP26" s="1027"/>
      <c r="BQ26" s="1027"/>
      <c r="BR26" s="1027"/>
      <c r="BS26" s="1027"/>
      <c r="BT26" s="1027"/>
      <c r="BU26" s="1025">
        <v>712050.07</v>
      </c>
      <c r="BV26" s="1025"/>
      <c r="BW26" s="1025"/>
      <c r="BX26" s="1025"/>
      <c r="BY26" s="1025"/>
      <c r="BZ26" s="1025"/>
      <c r="CA26" s="1025"/>
      <c r="CB26" s="1025"/>
      <c r="CC26" s="1025"/>
      <c r="CD26" s="1025"/>
    </row>
    <row r="27" spans="1:82" s="815" customFormat="1" ht="47.25" customHeight="1" thickTop="1" thickBot="1" x14ac:dyDescent="0.35">
      <c r="A27" s="1028" t="s">
        <v>1518</v>
      </c>
      <c r="B27" s="1028"/>
      <c r="C27" s="1028"/>
      <c r="D27" s="1028"/>
      <c r="E27" s="1028"/>
      <c r="F27" s="1028"/>
      <c r="G27" s="1028"/>
      <c r="H27" s="1028"/>
      <c r="I27" s="1028"/>
      <c r="J27" s="1028"/>
      <c r="K27" s="1028"/>
      <c r="L27" s="1028"/>
      <c r="M27" s="1028"/>
      <c r="N27" s="1029" t="s">
        <v>1486</v>
      </c>
      <c r="O27" s="1029"/>
      <c r="P27" s="1029"/>
      <c r="Q27" s="1029"/>
      <c r="R27" s="1029"/>
      <c r="S27" s="1029"/>
      <c r="T27" s="1029"/>
      <c r="U27" s="1030">
        <v>95152.960000000006</v>
      </c>
      <c r="V27" s="1030"/>
      <c r="W27" s="1030"/>
      <c r="X27" s="1030"/>
      <c r="Y27" s="1030"/>
      <c r="Z27" s="1030"/>
      <c r="AA27" s="1030"/>
      <c r="AB27" s="1030"/>
      <c r="AC27" s="1030"/>
      <c r="AD27" s="1030"/>
      <c r="AE27" s="1027" t="s">
        <v>913</v>
      </c>
      <c r="AF27" s="1027"/>
      <c r="AG27" s="1027"/>
      <c r="AH27" s="1027"/>
      <c r="AI27" s="1027"/>
      <c r="AJ27" s="1027"/>
      <c r="AK27" s="1027"/>
      <c r="AL27" s="1027"/>
      <c r="AM27" s="1027"/>
      <c r="AN27" s="1027"/>
      <c r="AO27" s="1027"/>
      <c r="AP27" s="1026">
        <v>95152.960000000006</v>
      </c>
      <c r="AQ27" s="1026"/>
      <c r="AR27" s="1026"/>
      <c r="AS27" s="1026"/>
      <c r="AT27" s="1026"/>
      <c r="AU27" s="1026"/>
      <c r="AV27" s="1026"/>
      <c r="AW27" s="1026"/>
      <c r="AX27" s="1026"/>
      <c r="AY27" s="1026"/>
      <c r="AZ27" s="1026"/>
      <c r="BA27" s="1026">
        <v>95152.960000000006</v>
      </c>
      <c r="BB27" s="1026"/>
      <c r="BC27" s="1026"/>
      <c r="BD27" s="1026"/>
      <c r="BE27" s="1026"/>
      <c r="BF27" s="1026"/>
      <c r="BG27" s="1026"/>
      <c r="BH27" s="1026"/>
      <c r="BI27" s="1026"/>
      <c r="BJ27" s="1026"/>
      <c r="BK27" s="1027" t="s">
        <v>913</v>
      </c>
      <c r="BL27" s="1027"/>
      <c r="BM27" s="1027"/>
      <c r="BN27" s="1027"/>
      <c r="BO27" s="1027"/>
      <c r="BP27" s="1027"/>
      <c r="BQ27" s="1027"/>
      <c r="BR27" s="1027"/>
      <c r="BS27" s="1027"/>
      <c r="BT27" s="1027"/>
      <c r="BU27" s="1025">
        <v>95152.960000000006</v>
      </c>
      <c r="BV27" s="1025"/>
      <c r="BW27" s="1025"/>
      <c r="BX27" s="1025"/>
      <c r="BY27" s="1025"/>
      <c r="BZ27" s="1025"/>
      <c r="CA27" s="1025"/>
      <c r="CB27" s="1025"/>
      <c r="CC27" s="1025"/>
      <c r="CD27" s="1025"/>
    </row>
    <row r="28" spans="1:82" s="815" customFormat="1" ht="11.1" customHeight="1" thickTop="1" thickBot="1" x14ac:dyDescent="0.35">
      <c r="A28" s="1033" t="s">
        <v>1505</v>
      </c>
      <c r="B28" s="1033"/>
      <c r="C28" s="1033"/>
      <c r="D28" s="1033"/>
      <c r="E28" s="1033"/>
      <c r="F28" s="1033"/>
      <c r="G28" s="1033"/>
      <c r="H28" s="1033"/>
      <c r="I28" s="1033"/>
      <c r="J28" s="1033"/>
      <c r="K28" s="1033"/>
      <c r="L28" s="1033"/>
      <c r="M28" s="1033"/>
      <c r="N28" s="1033"/>
      <c r="O28" s="1033"/>
      <c r="P28" s="1033"/>
      <c r="Q28" s="1033"/>
      <c r="R28" s="1033"/>
      <c r="S28" s="1033"/>
      <c r="T28" s="1033"/>
      <c r="U28" s="1034">
        <f>SUM(U29:AD40)</f>
        <v>3793803.0999999996</v>
      </c>
      <c r="V28" s="1034"/>
      <c r="W28" s="1034"/>
      <c r="X28" s="1034"/>
      <c r="Y28" s="1034"/>
      <c r="Z28" s="1034"/>
      <c r="AA28" s="1034"/>
      <c r="AB28" s="1034"/>
      <c r="AC28" s="1034"/>
      <c r="AD28" s="1034"/>
      <c r="AE28" s="1034">
        <v>0</v>
      </c>
      <c r="AF28" s="1034"/>
      <c r="AG28" s="1034"/>
      <c r="AH28" s="1034"/>
      <c r="AI28" s="1034"/>
      <c r="AJ28" s="1034"/>
      <c r="AK28" s="1034"/>
      <c r="AL28" s="1034"/>
      <c r="AM28" s="1034"/>
      <c r="AN28" s="1034"/>
      <c r="AO28" s="817"/>
      <c r="AP28" s="1036">
        <v>0</v>
      </c>
      <c r="AQ28" s="1036"/>
      <c r="AR28" s="1036"/>
      <c r="AS28" s="1036"/>
      <c r="AT28" s="1036"/>
      <c r="AU28" s="1036"/>
      <c r="AV28" s="1036"/>
      <c r="AW28" s="1036"/>
      <c r="AX28" s="1036"/>
      <c r="AY28" s="1036"/>
      <c r="AZ28" s="1036"/>
      <c r="BA28" s="1034">
        <f>SUM(BA29:BJ40)</f>
        <v>2025261.41</v>
      </c>
      <c r="BB28" s="1034"/>
      <c r="BC28" s="1034"/>
      <c r="BD28" s="1034"/>
      <c r="BE28" s="1034"/>
      <c r="BF28" s="1034"/>
      <c r="BG28" s="1034"/>
      <c r="BH28" s="1034"/>
      <c r="BI28" s="1034"/>
      <c r="BJ28" s="1034"/>
      <c r="BK28" s="1035">
        <v>0</v>
      </c>
      <c r="BL28" s="1035"/>
      <c r="BM28" s="1035"/>
      <c r="BN28" s="1035"/>
      <c r="BO28" s="1035"/>
      <c r="BP28" s="1035"/>
      <c r="BQ28" s="1035"/>
      <c r="BR28" s="1035"/>
      <c r="BS28" s="1035"/>
      <c r="BT28" s="1035"/>
      <c r="BU28" s="1034">
        <f>SUM(BU29:CD40)</f>
        <v>0</v>
      </c>
      <c r="BV28" s="1034"/>
      <c r="BW28" s="1034"/>
      <c r="BX28" s="1034"/>
      <c r="BY28" s="1034"/>
      <c r="BZ28" s="1034"/>
      <c r="CA28" s="1034"/>
      <c r="CB28" s="1034"/>
      <c r="CC28" s="1034"/>
      <c r="CD28" s="1034"/>
    </row>
    <row r="29" spans="1:82" s="815" customFormat="1" ht="23.25" customHeight="1" thickTop="1" thickBot="1" x14ac:dyDescent="0.35">
      <c r="A29" s="1038" t="s">
        <v>1506</v>
      </c>
      <c r="B29" s="1038"/>
      <c r="C29" s="1038"/>
      <c r="D29" s="1038"/>
      <c r="E29" s="1038"/>
      <c r="F29" s="1038"/>
      <c r="G29" s="1038"/>
      <c r="H29" s="1038"/>
      <c r="I29" s="1038"/>
      <c r="J29" s="1038"/>
      <c r="K29" s="1038"/>
      <c r="L29" s="1038"/>
      <c r="M29" s="1038"/>
      <c r="N29" s="1029" t="s">
        <v>1474</v>
      </c>
      <c r="O29" s="1029"/>
      <c r="P29" s="1029"/>
      <c r="Q29" s="1029"/>
      <c r="R29" s="1029"/>
      <c r="S29" s="1029"/>
      <c r="T29" s="1029"/>
      <c r="U29" s="1030">
        <v>2500</v>
      </c>
      <c r="V29" s="1030"/>
      <c r="W29" s="1030"/>
      <c r="X29" s="1030"/>
      <c r="Y29" s="1030"/>
      <c r="Z29" s="1030"/>
      <c r="AA29" s="1030"/>
      <c r="AB29" s="1030"/>
      <c r="AC29" s="1030"/>
      <c r="AD29" s="1030"/>
      <c r="AE29" s="1027" t="s">
        <v>913</v>
      </c>
      <c r="AF29" s="1027"/>
      <c r="AG29" s="1027"/>
      <c r="AH29" s="1027"/>
      <c r="AI29" s="1027"/>
      <c r="AJ29" s="1027"/>
      <c r="AK29" s="1027"/>
      <c r="AL29" s="1027"/>
      <c r="AM29" s="1027"/>
      <c r="AN29" s="1027"/>
      <c r="AO29" s="1027"/>
      <c r="AP29" s="1027" t="s">
        <v>913</v>
      </c>
      <c r="AQ29" s="1027"/>
      <c r="AR29" s="1027"/>
      <c r="AS29" s="1027"/>
      <c r="AT29" s="1027"/>
      <c r="AU29" s="1027"/>
      <c r="AV29" s="1027"/>
      <c r="AW29" s="1027"/>
      <c r="AX29" s="1027"/>
      <c r="AY29" s="1027"/>
      <c r="AZ29" s="1027"/>
      <c r="BA29" s="1027" t="s">
        <v>913</v>
      </c>
      <c r="BB29" s="1027"/>
      <c r="BC29" s="1027"/>
      <c r="BD29" s="1027"/>
      <c r="BE29" s="1027"/>
      <c r="BF29" s="1027"/>
      <c r="BG29" s="1027"/>
      <c r="BH29" s="1027"/>
      <c r="BI29" s="1027"/>
      <c r="BJ29" s="1027"/>
      <c r="BK29" s="1027" t="s">
        <v>913</v>
      </c>
      <c r="BL29" s="1027"/>
      <c r="BM29" s="1027"/>
      <c r="BN29" s="1027"/>
      <c r="BO29" s="1027"/>
      <c r="BP29" s="1027"/>
      <c r="BQ29" s="1027"/>
      <c r="BR29" s="1027"/>
      <c r="BS29" s="1027"/>
      <c r="BT29" s="1027"/>
      <c r="BU29" s="1031" t="s">
        <v>913</v>
      </c>
      <c r="BV29" s="1031"/>
      <c r="BW29" s="1031"/>
      <c r="BX29" s="1031"/>
      <c r="BY29" s="1031"/>
      <c r="BZ29" s="1031"/>
      <c r="CA29" s="1031"/>
      <c r="CB29" s="1031"/>
      <c r="CC29" s="1031"/>
      <c r="CD29" s="1031"/>
    </row>
    <row r="30" spans="1:82" s="815" customFormat="1" ht="23.25" customHeight="1" thickTop="1" thickBot="1" x14ac:dyDescent="0.35">
      <c r="A30" s="1038" t="s">
        <v>1507</v>
      </c>
      <c r="B30" s="1038"/>
      <c r="C30" s="1038"/>
      <c r="D30" s="1038"/>
      <c r="E30" s="1038"/>
      <c r="F30" s="1038"/>
      <c r="G30" s="1038"/>
      <c r="H30" s="1038"/>
      <c r="I30" s="1038"/>
      <c r="J30" s="1038"/>
      <c r="K30" s="1038"/>
      <c r="L30" s="1038"/>
      <c r="M30" s="1038"/>
      <c r="N30" s="1029" t="s">
        <v>1475</v>
      </c>
      <c r="O30" s="1029"/>
      <c r="P30" s="1029"/>
      <c r="Q30" s="1029"/>
      <c r="R30" s="1029"/>
      <c r="S30" s="1029"/>
      <c r="T30" s="1029"/>
      <c r="U30" s="1030">
        <v>160935.21</v>
      </c>
      <c r="V30" s="1030"/>
      <c r="W30" s="1030"/>
      <c r="X30" s="1030"/>
      <c r="Y30" s="1030"/>
      <c r="Z30" s="1030"/>
      <c r="AA30" s="1030"/>
      <c r="AB30" s="1030"/>
      <c r="AC30" s="1030"/>
      <c r="AD30" s="1030"/>
      <c r="AE30" s="1027" t="s">
        <v>913</v>
      </c>
      <c r="AF30" s="1027"/>
      <c r="AG30" s="1027"/>
      <c r="AH30" s="1027"/>
      <c r="AI30" s="1027"/>
      <c r="AJ30" s="1027"/>
      <c r="AK30" s="1027"/>
      <c r="AL30" s="1027"/>
      <c r="AM30" s="1027"/>
      <c r="AN30" s="1027"/>
      <c r="AO30" s="1027"/>
      <c r="AP30" s="1027" t="s">
        <v>913</v>
      </c>
      <c r="AQ30" s="1027"/>
      <c r="AR30" s="1027"/>
      <c r="AS30" s="1027"/>
      <c r="AT30" s="1027"/>
      <c r="AU30" s="1027"/>
      <c r="AV30" s="1027"/>
      <c r="AW30" s="1027"/>
      <c r="AX30" s="1027"/>
      <c r="AY30" s="1027"/>
      <c r="AZ30" s="1027"/>
      <c r="BA30" s="1037">
        <v>749.27</v>
      </c>
      <c r="BB30" s="1037"/>
      <c r="BC30" s="1037"/>
      <c r="BD30" s="1037"/>
      <c r="BE30" s="1037"/>
      <c r="BF30" s="1037"/>
      <c r="BG30" s="1037"/>
      <c r="BH30" s="1037"/>
      <c r="BI30" s="1037"/>
      <c r="BJ30" s="1037"/>
      <c r="BK30" s="1027" t="s">
        <v>913</v>
      </c>
      <c r="BL30" s="1027"/>
      <c r="BM30" s="1027"/>
      <c r="BN30" s="1027"/>
      <c r="BO30" s="1027"/>
      <c r="BP30" s="1027"/>
      <c r="BQ30" s="1027"/>
      <c r="BR30" s="1027"/>
      <c r="BS30" s="1027"/>
      <c r="BT30" s="1027"/>
      <c r="BU30" s="1031" t="s">
        <v>913</v>
      </c>
      <c r="BV30" s="1031"/>
      <c r="BW30" s="1031"/>
      <c r="BX30" s="1031"/>
      <c r="BY30" s="1031"/>
      <c r="BZ30" s="1031"/>
      <c r="CA30" s="1031"/>
      <c r="CB30" s="1031"/>
      <c r="CC30" s="1031"/>
      <c r="CD30" s="1031"/>
    </row>
    <row r="31" spans="1:82" s="815" customFormat="1" ht="34.5" customHeight="1" thickTop="1" thickBot="1" x14ac:dyDescent="0.35">
      <c r="A31" s="1038" t="s">
        <v>1508</v>
      </c>
      <c r="B31" s="1038"/>
      <c r="C31" s="1038"/>
      <c r="D31" s="1038"/>
      <c r="E31" s="1038"/>
      <c r="F31" s="1038"/>
      <c r="G31" s="1038"/>
      <c r="H31" s="1038"/>
      <c r="I31" s="1038"/>
      <c r="J31" s="1038"/>
      <c r="K31" s="1038"/>
      <c r="L31" s="1038"/>
      <c r="M31" s="1038"/>
      <c r="N31" s="1029" t="s">
        <v>1476</v>
      </c>
      <c r="O31" s="1029"/>
      <c r="P31" s="1029"/>
      <c r="Q31" s="1029"/>
      <c r="R31" s="1029"/>
      <c r="S31" s="1029"/>
      <c r="T31" s="1029"/>
      <c r="U31" s="1030">
        <v>462618.13</v>
      </c>
      <c r="V31" s="1030"/>
      <c r="W31" s="1030"/>
      <c r="X31" s="1030"/>
      <c r="Y31" s="1030"/>
      <c r="Z31" s="1030"/>
      <c r="AA31" s="1030"/>
      <c r="AB31" s="1030"/>
      <c r="AC31" s="1030"/>
      <c r="AD31" s="1030"/>
      <c r="AE31" s="1027" t="s">
        <v>913</v>
      </c>
      <c r="AF31" s="1027"/>
      <c r="AG31" s="1027"/>
      <c r="AH31" s="1027"/>
      <c r="AI31" s="1027"/>
      <c r="AJ31" s="1027"/>
      <c r="AK31" s="1027"/>
      <c r="AL31" s="1027"/>
      <c r="AM31" s="1027"/>
      <c r="AN31" s="1027"/>
      <c r="AO31" s="1027"/>
      <c r="AP31" s="1027" t="s">
        <v>913</v>
      </c>
      <c r="AQ31" s="1027"/>
      <c r="AR31" s="1027"/>
      <c r="AS31" s="1027"/>
      <c r="AT31" s="1027"/>
      <c r="AU31" s="1027"/>
      <c r="AV31" s="1027"/>
      <c r="AW31" s="1027"/>
      <c r="AX31" s="1027"/>
      <c r="AY31" s="1027"/>
      <c r="AZ31" s="1027"/>
      <c r="BA31" s="1026">
        <v>178769.94</v>
      </c>
      <c r="BB31" s="1026"/>
      <c r="BC31" s="1026"/>
      <c r="BD31" s="1026"/>
      <c r="BE31" s="1026"/>
      <c r="BF31" s="1026"/>
      <c r="BG31" s="1026"/>
      <c r="BH31" s="1026"/>
      <c r="BI31" s="1026"/>
      <c r="BJ31" s="1026"/>
      <c r="BK31" s="1027" t="s">
        <v>913</v>
      </c>
      <c r="BL31" s="1027"/>
      <c r="BM31" s="1027"/>
      <c r="BN31" s="1027"/>
      <c r="BO31" s="1027"/>
      <c r="BP31" s="1027"/>
      <c r="BQ31" s="1027"/>
      <c r="BR31" s="1027"/>
      <c r="BS31" s="1027"/>
      <c r="BT31" s="1027"/>
      <c r="BU31" s="1031" t="s">
        <v>913</v>
      </c>
      <c r="BV31" s="1031"/>
      <c r="BW31" s="1031"/>
      <c r="BX31" s="1031"/>
      <c r="BY31" s="1031"/>
      <c r="BZ31" s="1031"/>
      <c r="CA31" s="1031"/>
      <c r="CB31" s="1031"/>
      <c r="CC31" s="1031"/>
      <c r="CD31" s="1031"/>
    </row>
    <row r="32" spans="1:82" s="815" customFormat="1" ht="23.25" customHeight="1" thickTop="1" thickBot="1" x14ac:dyDescent="0.35">
      <c r="A32" s="1038" t="s">
        <v>1509</v>
      </c>
      <c r="B32" s="1038"/>
      <c r="C32" s="1038"/>
      <c r="D32" s="1038"/>
      <c r="E32" s="1038"/>
      <c r="F32" s="1038"/>
      <c r="G32" s="1038"/>
      <c r="H32" s="1038"/>
      <c r="I32" s="1038"/>
      <c r="J32" s="1038"/>
      <c r="K32" s="1038"/>
      <c r="L32" s="1038"/>
      <c r="M32" s="1038"/>
      <c r="N32" s="1029" t="s">
        <v>1477</v>
      </c>
      <c r="O32" s="1029"/>
      <c r="P32" s="1029"/>
      <c r="Q32" s="1029"/>
      <c r="R32" s="1029"/>
      <c r="S32" s="1029"/>
      <c r="T32" s="1029"/>
      <c r="U32" s="1039" t="s">
        <v>913</v>
      </c>
      <c r="V32" s="1039"/>
      <c r="W32" s="1039"/>
      <c r="X32" s="1039"/>
      <c r="Y32" s="1039"/>
      <c r="Z32" s="1039"/>
      <c r="AA32" s="1039"/>
      <c r="AB32" s="1039"/>
      <c r="AC32" s="1039"/>
      <c r="AD32" s="1039"/>
      <c r="AE32" s="1027" t="s">
        <v>913</v>
      </c>
      <c r="AF32" s="1027"/>
      <c r="AG32" s="1027"/>
      <c r="AH32" s="1027"/>
      <c r="AI32" s="1027"/>
      <c r="AJ32" s="1027"/>
      <c r="AK32" s="1027"/>
      <c r="AL32" s="1027"/>
      <c r="AM32" s="1027"/>
      <c r="AN32" s="1027"/>
      <c r="AO32" s="1027"/>
      <c r="AP32" s="1027" t="s">
        <v>913</v>
      </c>
      <c r="AQ32" s="1027"/>
      <c r="AR32" s="1027"/>
      <c r="AS32" s="1027"/>
      <c r="AT32" s="1027"/>
      <c r="AU32" s="1027"/>
      <c r="AV32" s="1027"/>
      <c r="AW32" s="1027"/>
      <c r="AX32" s="1027"/>
      <c r="AY32" s="1027"/>
      <c r="AZ32" s="1027"/>
      <c r="BA32" s="1026">
        <v>27337.37</v>
      </c>
      <c r="BB32" s="1026"/>
      <c r="BC32" s="1026"/>
      <c r="BD32" s="1026"/>
      <c r="BE32" s="1026"/>
      <c r="BF32" s="1026"/>
      <c r="BG32" s="1026"/>
      <c r="BH32" s="1026"/>
      <c r="BI32" s="1026"/>
      <c r="BJ32" s="1026"/>
      <c r="BK32" s="1027" t="s">
        <v>913</v>
      </c>
      <c r="BL32" s="1027"/>
      <c r="BM32" s="1027"/>
      <c r="BN32" s="1027"/>
      <c r="BO32" s="1027"/>
      <c r="BP32" s="1027"/>
      <c r="BQ32" s="1027"/>
      <c r="BR32" s="1027"/>
      <c r="BS32" s="1027"/>
      <c r="BT32" s="1027"/>
      <c r="BU32" s="1031" t="s">
        <v>913</v>
      </c>
      <c r="BV32" s="1031"/>
      <c r="BW32" s="1031"/>
      <c r="BX32" s="1031"/>
      <c r="BY32" s="1031"/>
      <c r="BZ32" s="1031"/>
      <c r="CA32" s="1031"/>
      <c r="CB32" s="1031"/>
      <c r="CC32" s="1031"/>
      <c r="CD32" s="1031"/>
    </row>
    <row r="33" spans="1:82" s="815" customFormat="1" ht="34.5" customHeight="1" thickTop="1" thickBot="1" x14ac:dyDescent="0.35">
      <c r="A33" s="1038" t="s">
        <v>1510</v>
      </c>
      <c r="B33" s="1038"/>
      <c r="C33" s="1038"/>
      <c r="D33" s="1038"/>
      <c r="E33" s="1038"/>
      <c r="F33" s="1038"/>
      <c r="G33" s="1038"/>
      <c r="H33" s="1038"/>
      <c r="I33" s="1038"/>
      <c r="J33" s="1038"/>
      <c r="K33" s="1038"/>
      <c r="L33" s="1038"/>
      <c r="M33" s="1038"/>
      <c r="N33" s="1029" t="s">
        <v>1478</v>
      </c>
      <c r="O33" s="1029"/>
      <c r="P33" s="1029"/>
      <c r="Q33" s="1029"/>
      <c r="R33" s="1029"/>
      <c r="S33" s="1029"/>
      <c r="T33" s="1029"/>
      <c r="U33" s="1030">
        <v>133356.65</v>
      </c>
      <c r="V33" s="1030"/>
      <c r="W33" s="1030"/>
      <c r="X33" s="1030"/>
      <c r="Y33" s="1030"/>
      <c r="Z33" s="1030"/>
      <c r="AA33" s="1030"/>
      <c r="AB33" s="1030"/>
      <c r="AC33" s="1030"/>
      <c r="AD33" s="1030"/>
      <c r="AE33" s="1027" t="s">
        <v>913</v>
      </c>
      <c r="AF33" s="1027"/>
      <c r="AG33" s="1027"/>
      <c r="AH33" s="1027"/>
      <c r="AI33" s="1027"/>
      <c r="AJ33" s="1027"/>
      <c r="AK33" s="1027"/>
      <c r="AL33" s="1027"/>
      <c r="AM33" s="1027"/>
      <c r="AN33" s="1027"/>
      <c r="AO33" s="1027"/>
      <c r="AP33" s="1027" t="s">
        <v>913</v>
      </c>
      <c r="AQ33" s="1027"/>
      <c r="AR33" s="1027"/>
      <c r="AS33" s="1027"/>
      <c r="AT33" s="1027"/>
      <c r="AU33" s="1027"/>
      <c r="AV33" s="1027"/>
      <c r="AW33" s="1027"/>
      <c r="AX33" s="1027"/>
      <c r="AY33" s="1027"/>
      <c r="AZ33" s="1027"/>
      <c r="BA33" s="1027" t="s">
        <v>913</v>
      </c>
      <c r="BB33" s="1027"/>
      <c r="BC33" s="1027"/>
      <c r="BD33" s="1027"/>
      <c r="BE33" s="1027"/>
      <c r="BF33" s="1027"/>
      <c r="BG33" s="1027"/>
      <c r="BH33" s="1027"/>
      <c r="BI33" s="1027"/>
      <c r="BJ33" s="1027"/>
      <c r="BK33" s="1027" t="s">
        <v>913</v>
      </c>
      <c r="BL33" s="1027"/>
      <c r="BM33" s="1027"/>
      <c r="BN33" s="1027"/>
      <c r="BO33" s="1027"/>
      <c r="BP33" s="1027"/>
      <c r="BQ33" s="1027"/>
      <c r="BR33" s="1027"/>
      <c r="BS33" s="1027"/>
      <c r="BT33" s="1027"/>
      <c r="BU33" s="1031" t="s">
        <v>913</v>
      </c>
      <c r="BV33" s="1031"/>
      <c r="BW33" s="1031"/>
      <c r="BX33" s="1031"/>
      <c r="BY33" s="1031"/>
      <c r="BZ33" s="1031"/>
      <c r="CA33" s="1031"/>
      <c r="CB33" s="1031"/>
      <c r="CC33" s="1031"/>
      <c r="CD33" s="1031"/>
    </row>
    <row r="34" spans="1:82" s="815" customFormat="1" ht="33" customHeight="1" thickTop="1" thickBot="1" x14ac:dyDescent="0.35">
      <c r="A34" s="1038" t="s">
        <v>1514</v>
      </c>
      <c r="B34" s="1038"/>
      <c r="C34" s="1038"/>
      <c r="D34" s="1038"/>
      <c r="E34" s="1038"/>
      <c r="F34" s="1038"/>
      <c r="G34" s="1038"/>
      <c r="H34" s="1038"/>
      <c r="I34" s="1038"/>
      <c r="J34" s="1038"/>
      <c r="K34" s="1038"/>
      <c r="L34" s="1038"/>
      <c r="M34" s="1040"/>
      <c r="N34" s="1029" t="s">
        <v>1479</v>
      </c>
      <c r="O34" s="1029"/>
      <c r="P34" s="1029"/>
      <c r="Q34" s="1029"/>
      <c r="R34" s="1029"/>
      <c r="S34" s="1029"/>
      <c r="T34" s="1029"/>
      <c r="U34" s="1030">
        <v>2944269.56</v>
      </c>
      <c r="V34" s="1030"/>
      <c r="W34" s="1030"/>
      <c r="X34" s="1030"/>
      <c r="Y34" s="1030"/>
      <c r="Z34" s="1030"/>
      <c r="AA34" s="1030"/>
      <c r="AB34" s="1030"/>
      <c r="AC34" s="1030"/>
      <c r="AD34" s="1030"/>
      <c r="AE34" s="1027" t="s">
        <v>913</v>
      </c>
      <c r="AF34" s="1027"/>
      <c r="AG34" s="1027"/>
      <c r="AH34" s="1027"/>
      <c r="AI34" s="1027"/>
      <c r="AJ34" s="1027"/>
      <c r="AK34" s="1027"/>
      <c r="AL34" s="1027"/>
      <c r="AM34" s="1027"/>
      <c r="AN34" s="1027"/>
      <c r="AO34" s="1027"/>
      <c r="AP34" s="1027" t="s">
        <v>913</v>
      </c>
      <c r="AQ34" s="1027"/>
      <c r="AR34" s="1027"/>
      <c r="AS34" s="1027"/>
      <c r="AT34" s="1027"/>
      <c r="AU34" s="1027"/>
      <c r="AV34" s="1027"/>
      <c r="AW34" s="1027"/>
      <c r="AX34" s="1027"/>
      <c r="AY34" s="1027"/>
      <c r="AZ34" s="1027"/>
      <c r="BA34" s="1026">
        <v>1717947.85</v>
      </c>
      <c r="BB34" s="1026"/>
      <c r="BC34" s="1026"/>
      <c r="BD34" s="1026"/>
      <c r="BE34" s="1026"/>
      <c r="BF34" s="1026"/>
      <c r="BG34" s="1026"/>
      <c r="BH34" s="1026"/>
      <c r="BI34" s="1026"/>
      <c r="BJ34" s="1026"/>
      <c r="BK34" s="1027" t="s">
        <v>913</v>
      </c>
      <c r="BL34" s="1027"/>
      <c r="BM34" s="1027"/>
      <c r="BN34" s="1027"/>
      <c r="BO34" s="1027"/>
      <c r="BP34" s="1027"/>
      <c r="BQ34" s="1027"/>
      <c r="BR34" s="1027"/>
      <c r="BS34" s="1027"/>
      <c r="BT34" s="1027"/>
      <c r="BU34" s="1031" t="s">
        <v>913</v>
      </c>
      <c r="BV34" s="1031"/>
      <c r="BW34" s="1031"/>
      <c r="BX34" s="1031"/>
      <c r="BY34" s="1031"/>
      <c r="BZ34" s="1031"/>
      <c r="CA34" s="1031"/>
      <c r="CB34" s="1031"/>
      <c r="CC34" s="1031"/>
      <c r="CD34" s="1031"/>
    </row>
    <row r="35" spans="1:82" s="815" customFormat="1" ht="23.25" customHeight="1" thickTop="1" thickBot="1" x14ac:dyDescent="0.35">
      <c r="A35" s="1038" t="s">
        <v>1513</v>
      </c>
      <c r="B35" s="1038"/>
      <c r="C35" s="1038"/>
      <c r="D35" s="1038"/>
      <c r="E35" s="1038"/>
      <c r="F35" s="1038"/>
      <c r="G35" s="1038"/>
      <c r="H35" s="1038"/>
      <c r="I35" s="1038"/>
      <c r="J35" s="1038"/>
      <c r="K35" s="1038"/>
      <c r="L35" s="1038"/>
      <c r="M35" s="1038"/>
      <c r="N35" s="1029" t="s">
        <v>1480</v>
      </c>
      <c r="O35" s="1029"/>
      <c r="P35" s="1029"/>
      <c r="Q35" s="1029"/>
      <c r="R35" s="1029"/>
      <c r="S35" s="1029"/>
      <c r="T35" s="1029"/>
      <c r="U35" s="1030">
        <v>13812</v>
      </c>
      <c r="V35" s="1030"/>
      <c r="W35" s="1030"/>
      <c r="X35" s="1030"/>
      <c r="Y35" s="1030"/>
      <c r="Z35" s="1030"/>
      <c r="AA35" s="1030"/>
      <c r="AB35" s="1030"/>
      <c r="AC35" s="1030"/>
      <c r="AD35" s="1030"/>
      <c r="AE35" s="1027" t="s">
        <v>913</v>
      </c>
      <c r="AF35" s="1027"/>
      <c r="AG35" s="1027"/>
      <c r="AH35" s="1027"/>
      <c r="AI35" s="1027"/>
      <c r="AJ35" s="1027"/>
      <c r="AK35" s="1027"/>
      <c r="AL35" s="1027"/>
      <c r="AM35" s="1027"/>
      <c r="AN35" s="1027"/>
      <c r="AO35" s="1027"/>
      <c r="AP35" s="1027" t="s">
        <v>913</v>
      </c>
      <c r="AQ35" s="1027"/>
      <c r="AR35" s="1027"/>
      <c r="AS35" s="1027"/>
      <c r="AT35" s="1027"/>
      <c r="AU35" s="1027"/>
      <c r="AV35" s="1027"/>
      <c r="AW35" s="1027"/>
      <c r="AX35" s="1027"/>
      <c r="AY35" s="1027"/>
      <c r="AZ35" s="1027"/>
      <c r="BA35" s="1026">
        <v>20320.900000000001</v>
      </c>
      <c r="BB35" s="1026"/>
      <c r="BC35" s="1026"/>
      <c r="BD35" s="1026"/>
      <c r="BE35" s="1026"/>
      <c r="BF35" s="1026"/>
      <c r="BG35" s="1026"/>
      <c r="BH35" s="1026"/>
      <c r="BI35" s="1026"/>
      <c r="BJ35" s="1026"/>
      <c r="BK35" s="1027" t="s">
        <v>913</v>
      </c>
      <c r="BL35" s="1027"/>
      <c r="BM35" s="1027"/>
      <c r="BN35" s="1027"/>
      <c r="BO35" s="1027"/>
      <c r="BP35" s="1027"/>
      <c r="BQ35" s="1027"/>
      <c r="BR35" s="1027"/>
      <c r="BS35" s="1027"/>
      <c r="BT35" s="1027"/>
      <c r="BU35" s="1031" t="s">
        <v>913</v>
      </c>
      <c r="BV35" s="1031"/>
      <c r="BW35" s="1031"/>
      <c r="BX35" s="1031"/>
      <c r="BY35" s="1031"/>
      <c r="BZ35" s="1031"/>
      <c r="CA35" s="1031"/>
      <c r="CB35" s="1031"/>
      <c r="CC35" s="1031"/>
      <c r="CD35" s="1031"/>
    </row>
    <row r="36" spans="1:82" s="815" customFormat="1" ht="23.25" customHeight="1" thickTop="1" thickBot="1" x14ac:dyDescent="0.35">
      <c r="A36" s="1038" t="s">
        <v>1509</v>
      </c>
      <c r="B36" s="1038"/>
      <c r="C36" s="1038"/>
      <c r="D36" s="1038"/>
      <c r="E36" s="1038"/>
      <c r="F36" s="1038"/>
      <c r="G36" s="1038"/>
      <c r="H36" s="1038"/>
      <c r="I36" s="1038"/>
      <c r="J36" s="1038"/>
      <c r="K36" s="1038"/>
      <c r="L36" s="1038"/>
      <c r="M36" s="1038"/>
      <c r="N36" s="1029" t="s">
        <v>1481</v>
      </c>
      <c r="O36" s="1029"/>
      <c r="P36" s="1029"/>
      <c r="Q36" s="1029"/>
      <c r="R36" s="1029"/>
      <c r="S36" s="1029"/>
      <c r="T36" s="1029"/>
      <c r="U36" s="1032">
        <v>176</v>
      </c>
      <c r="V36" s="1032"/>
      <c r="W36" s="1032"/>
      <c r="X36" s="1032"/>
      <c r="Y36" s="1032"/>
      <c r="Z36" s="1032"/>
      <c r="AA36" s="1032"/>
      <c r="AB36" s="1032"/>
      <c r="AC36" s="1032"/>
      <c r="AD36" s="1032"/>
      <c r="AE36" s="1027" t="s">
        <v>913</v>
      </c>
      <c r="AF36" s="1027"/>
      <c r="AG36" s="1027"/>
      <c r="AH36" s="1027"/>
      <c r="AI36" s="1027"/>
      <c r="AJ36" s="1027"/>
      <c r="AK36" s="1027"/>
      <c r="AL36" s="1027"/>
      <c r="AM36" s="1027"/>
      <c r="AN36" s="1027"/>
      <c r="AO36" s="1027"/>
      <c r="AP36" s="1027" t="s">
        <v>913</v>
      </c>
      <c r="AQ36" s="1027"/>
      <c r="AR36" s="1027"/>
      <c r="AS36" s="1027"/>
      <c r="AT36" s="1027"/>
      <c r="AU36" s="1027"/>
      <c r="AV36" s="1027"/>
      <c r="AW36" s="1027"/>
      <c r="AX36" s="1027"/>
      <c r="AY36" s="1027"/>
      <c r="AZ36" s="1027"/>
      <c r="BA36" s="1037">
        <v>880</v>
      </c>
      <c r="BB36" s="1037"/>
      <c r="BC36" s="1037"/>
      <c r="BD36" s="1037"/>
      <c r="BE36" s="1037"/>
      <c r="BF36" s="1037"/>
      <c r="BG36" s="1037"/>
      <c r="BH36" s="1037"/>
      <c r="BI36" s="1037"/>
      <c r="BJ36" s="1037"/>
      <c r="BK36" s="1027" t="s">
        <v>913</v>
      </c>
      <c r="BL36" s="1027"/>
      <c r="BM36" s="1027"/>
      <c r="BN36" s="1027"/>
      <c r="BO36" s="1027"/>
      <c r="BP36" s="1027"/>
      <c r="BQ36" s="1027"/>
      <c r="BR36" s="1027"/>
      <c r="BS36" s="1027"/>
      <c r="BT36" s="1027"/>
      <c r="BU36" s="1031" t="s">
        <v>913</v>
      </c>
      <c r="BV36" s="1031"/>
      <c r="BW36" s="1031"/>
      <c r="BX36" s="1031"/>
      <c r="BY36" s="1031"/>
      <c r="BZ36" s="1031"/>
      <c r="CA36" s="1031"/>
      <c r="CB36" s="1031"/>
      <c r="CC36" s="1031"/>
      <c r="CD36" s="1031"/>
    </row>
    <row r="37" spans="1:82" s="815" customFormat="1" ht="36.75" customHeight="1" thickTop="1" thickBot="1" x14ac:dyDescent="0.35">
      <c r="A37" s="1038" t="s">
        <v>1511</v>
      </c>
      <c r="B37" s="1038"/>
      <c r="C37" s="1038"/>
      <c r="D37" s="1038"/>
      <c r="E37" s="1038"/>
      <c r="F37" s="1038"/>
      <c r="G37" s="1038"/>
      <c r="H37" s="1038"/>
      <c r="I37" s="1038"/>
      <c r="J37" s="1038"/>
      <c r="K37" s="1038"/>
      <c r="L37" s="1038"/>
      <c r="M37" s="1038"/>
      <c r="N37" s="1029" t="s">
        <v>1482</v>
      </c>
      <c r="O37" s="1029"/>
      <c r="P37" s="1029"/>
      <c r="Q37" s="1029"/>
      <c r="R37" s="1029"/>
      <c r="S37" s="1029"/>
      <c r="T37" s="1029"/>
      <c r="U37" s="1030">
        <v>4657</v>
      </c>
      <c r="V37" s="1030"/>
      <c r="W37" s="1030"/>
      <c r="X37" s="1030"/>
      <c r="Y37" s="1030"/>
      <c r="Z37" s="1030"/>
      <c r="AA37" s="1030"/>
      <c r="AB37" s="1030"/>
      <c r="AC37" s="1030"/>
      <c r="AD37" s="1030"/>
      <c r="AE37" s="1027" t="s">
        <v>913</v>
      </c>
      <c r="AF37" s="1027"/>
      <c r="AG37" s="1027"/>
      <c r="AH37" s="1027"/>
      <c r="AI37" s="1027"/>
      <c r="AJ37" s="1027"/>
      <c r="AK37" s="1027"/>
      <c r="AL37" s="1027"/>
      <c r="AM37" s="1027"/>
      <c r="AN37" s="1027"/>
      <c r="AO37" s="1027"/>
      <c r="AP37" s="1027" t="s">
        <v>913</v>
      </c>
      <c r="AQ37" s="1027"/>
      <c r="AR37" s="1027"/>
      <c r="AS37" s="1027"/>
      <c r="AT37" s="1027"/>
      <c r="AU37" s="1027"/>
      <c r="AV37" s="1027"/>
      <c r="AW37" s="1027"/>
      <c r="AX37" s="1027"/>
      <c r="AY37" s="1027"/>
      <c r="AZ37" s="1027"/>
      <c r="BA37" s="1027" t="s">
        <v>913</v>
      </c>
      <c r="BB37" s="1027"/>
      <c r="BC37" s="1027"/>
      <c r="BD37" s="1027"/>
      <c r="BE37" s="1027"/>
      <c r="BF37" s="1027"/>
      <c r="BG37" s="1027"/>
      <c r="BH37" s="1027"/>
      <c r="BI37" s="1027"/>
      <c r="BJ37" s="1027"/>
      <c r="BK37" s="1027" t="s">
        <v>913</v>
      </c>
      <c r="BL37" s="1027"/>
      <c r="BM37" s="1027"/>
      <c r="BN37" s="1027"/>
      <c r="BO37" s="1027"/>
      <c r="BP37" s="1027"/>
      <c r="BQ37" s="1027"/>
      <c r="BR37" s="1027"/>
      <c r="BS37" s="1027"/>
      <c r="BT37" s="1027"/>
      <c r="BU37" s="1031" t="s">
        <v>913</v>
      </c>
      <c r="BV37" s="1031"/>
      <c r="BW37" s="1031"/>
      <c r="BX37" s="1031"/>
      <c r="BY37" s="1031"/>
      <c r="BZ37" s="1031"/>
      <c r="CA37" s="1031"/>
      <c r="CB37" s="1031"/>
      <c r="CC37" s="1031"/>
      <c r="CD37" s="1031"/>
    </row>
    <row r="38" spans="1:82" s="815" customFormat="1" ht="35.25" customHeight="1" thickTop="1" thickBot="1" x14ac:dyDescent="0.35">
      <c r="A38" s="1038" t="s">
        <v>1512</v>
      </c>
      <c r="B38" s="1038"/>
      <c r="C38" s="1038"/>
      <c r="D38" s="1038"/>
      <c r="E38" s="1038"/>
      <c r="F38" s="1038"/>
      <c r="G38" s="1038"/>
      <c r="H38" s="1038"/>
      <c r="I38" s="1038"/>
      <c r="J38" s="1038"/>
      <c r="K38" s="1038"/>
      <c r="L38" s="1038"/>
      <c r="M38" s="1038"/>
      <c r="N38" s="1029" t="s">
        <v>1483</v>
      </c>
      <c r="O38" s="1029"/>
      <c r="P38" s="1029"/>
      <c r="Q38" s="1029"/>
      <c r="R38" s="1029"/>
      <c r="S38" s="1029"/>
      <c r="T38" s="1029"/>
      <c r="U38" s="1030">
        <v>34175.629999999997</v>
      </c>
      <c r="V38" s="1030"/>
      <c r="W38" s="1030"/>
      <c r="X38" s="1030"/>
      <c r="Y38" s="1030"/>
      <c r="Z38" s="1030"/>
      <c r="AA38" s="1030"/>
      <c r="AB38" s="1030"/>
      <c r="AC38" s="1030"/>
      <c r="AD38" s="1030"/>
      <c r="AE38" s="1027" t="s">
        <v>913</v>
      </c>
      <c r="AF38" s="1027"/>
      <c r="AG38" s="1027"/>
      <c r="AH38" s="1027"/>
      <c r="AI38" s="1027"/>
      <c r="AJ38" s="1027"/>
      <c r="AK38" s="1027"/>
      <c r="AL38" s="1027"/>
      <c r="AM38" s="1027"/>
      <c r="AN38" s="1027"/>
      <c r="AO38" s="1027"/>
      <c r="AP38" s="1027" t="s">
        <v>913</v>
      </c>
      <c r="AQ38" s="1027"/>
      <c r="AR38" s="1027"/>
      <c r="AS38" s="1027"/>
      <c r="AT38" s="1027"/>
      <c r="AU38" s="1027"/>
      <c r="AV38" s="1027"/>
      <c r="AW38" s="1027"/>
      <c r="AX38" s="1027"/>
      <c r="AY38" s="1027"/>
      <c r="AZ38" s="1027"/>
      <c r="BA38" s="1026">
        <v>42348.160000000003</v>
      </c>
      <c r="BB38" s="1026"/>
      <c r="BC38" s="1026"/>
      <c r="BD38" s="1026"/>
      <c r="BE38" s="1026"/>
      <c r="BF38" s="1026"/>
      <c r="BG38" s="1026"/>
      <c r="BH38" s="1026"/>
      <c r="BI38" s="1026"/>
      <c r="BJ38" s="1026"/>
      <c r="BK38" s="1027" t="s">
        <v>913</v>
      </c>
      <c r="BL38" s="1027"/>
      <c r="BM38" s="1027"/>
      <c r="BN38" s="1027"/>
      <c r="BO38" s="1027"/>
      <c r="BP38" s="1027"/>
      <c r="BQ38" s="1027"/>
      <c r="BR38" s="1027"/>
      <c r="BS38" s="1027"/>
      <c r="BT38" s="1027"/>
      <c r="BU38" s="1031" t="s">
        <v>913</v>
      </c>
      <c r="BV38" s="1031"/>
      <c r="BW38" s="1031"/>
      <c r="BX38" s="1031"/>
      <c r="BY38" s="1031"/>
      <c r="BZ38" s="1031"/>
      <c r="CA38" s="1031"/>
      <c r="CB38" s="1031"/>
      <c r="CC38" s="1031"/>
      <c r="CD38" s="1031"/>
    </row>
    <row r="39" spans="1:82" s="815" customFormat="1" ht="23.25" customHeight="1" thickTop="1" thickBot="1" x14ac:dyDescent="0.35">
      <c r="A39" s="1038" t="s">
        <v>1515</v>
      </c>
      <c r="B39" s="1038"/>
      <c r="C39" s="1038"/>
      <c r="D39" s="1038"/>
      <c r="E39" s="1038"/>
      <c r="F39" s="1038"/>
      <c r="G39" s="1038"/>
      <c r="H39" s="1038"/>
      <c r="I39" s="1038"/>
      <c r="J39" s="1038"/>
      <c r="K39" s="1038"/>
      <c r="L39" s="1038"/>
      <c r="M39" s="1038"/>
      <c r="N39" s="1029" t="s">
        <v>1487</v>
      </c>
      <c r="O39" s="1029"/>
      <c r="P39" s="1029"/>
      <c r="Q39" s="1029"/>
      <c r="R39" s="1029"/>
      <c r="S39" s="1029"/>
      <c r="T39" s="1029"/>
      <c r="U39" s="1030">
        <v>36907.919999999998</v>
      </c>
      <c r="V39" s="1030"/>
      <c r="W39" s="1030"/>
      <c r="X39" s="1030"/>
      <c r="Y39" s="1030"/>
      <c r="Z39" s="1030"/>
      <c r="AA39" s="1030"/>
      <c r="AB39" s="1030"/>
      <c r="AC39" s="1030"/>
      <c r="AD39" s="1030"/>
      <c r="AE39" s="1027" t="s">
        <v>913</v>
      </c>
      <c r="AF39" s="1027"/>
      <c r="AG39" s="1027"/>
      <c r="AH39" s="1027"/>
      <c r="AI39" s="1027"/>
      <c r="AJ39" s="1027"/>
      <c r="AK39" s="1027"/>
      <c r="AL39" s="1027"/>
      <c r="AM39" s="1027"/>
      <c r="AN39" s="1027"/>
      <c r="AO39" s="1027"/>
      <c r="AP39" s="1027" t="s">
        <v>913</v>
      </c>
      <c r="AQ39" s="1027"/>
      <c r="AR39" s="1027"/>
      <c r="AS39" s="1027"/>
      <c r="AT39" s="1027"/>
      <c r="AU39" s="1027"/>
      <c r="AV39" s="1027"/>
      <c r="AW39" s="1027"/>
      <c r="AX39" s="1027"/>
      <c r="AY39" s="1027"/>
      <c r="AZ39" s="1027"/>
      <c r="BA39" s="1026">
        <v>36907.919999999998</v>
      </c>
      <c r="BB39" s="1026"/>
      <c r="BC39" s="1026"/>
      <c r="BD39" s="1026"/>
      <c r="BE39" s="1026"/>
      <c r="BF39" s="1026"/>
      <c r="BG39" s="1026"/>
      <c r="BH39" s="1026"/>
      <c r="BI39" s="1026"/>
      <c r="BJ39" s="1026"/>
      <c r="BK39" s="1027" t="s">
        <v>913</v>
      </c>
      <c r="BL39" s="1027"/>
      <c r="BM39" s="1027"/>
      <c r="BN39" s="1027"/>
      <c r="BO39" s="1027"/>
      <c r="BP39" s="1027"/>
      <c r="BQ39" s="1027"/>
      <c r="BR39" s="1027"/>
      <c r="BS39" s="1027"/>
      <c r="BT39" s="1027"/>
      <c r="BU39" s="1031" t="s">
        <v>913</v>
      </c>
      <c r="BV39" s="1031"/>
      <c r="BW39" s="1031"/>
      <c r="BX39" s="1031"/>
      <c r="BY39" s="1031"/>
      <c r="BZ39" s="1031"/>
      <c r="CA39" s="1031"/>
      <c r="CB39" s="1031"/>
      <c r="CC39" s="1031"/>
      <c r="CD39" s="1031"/>
    </row>
    <row r="40" spans="1:82" s="815" customFormat="1" ht="23.25" customHeight="1" thickTop="1" thickBot="1" x14ac:dyDescent="0.35">
      <c r="A40" s="1038" t="s">
        <v>1516</v>
      </c>
      <c r="B40" s="1038"/>
      <c r="C40" s="1038"/>
      <c r="D40" s="1038"/>
      <c r="E40" s="1038"/>
      <c r="F40" s="1038"/>
      <c r="G40" s="1038"/>
      <c r="H40" s="1038"/>
      <c r="I40" s="1038"/>
      <c r="J40" s="1038"/>
      <c r="K40" s="1038"/>
      <c r="L40" s="1038"/>
      <c r="M40" s="1038"/>
      <c r="N40" s="1029" t="s">
        <v>1488</v>
      </c>
      <c r="O40" s="1029"/>
      <c r="P40" s="1029"/>
      <c r="Q40" s="1029"/>
      <c r="R40" s="1029"/>
      <c r="S40" s="1029"/>
      <c r="T40" s="1029"/>
      <c r="U40" s="1032">
        <v>395</v>
      </c>
      <c r="V40" s="1032"/>
      <c r="W40" s="1032"/>
      <c r="X40" s="1032"/>
      <c r="Y40" s="1032"/>
      <c r="Z40" s="1032"/>
      <c r="AA40" s="1032"/>
      <c r="AB40" s="1032"/>
      <c r="AC40" s="1032"/>
      <c r="AD40" s="1032"/>
      <c r="AE40" s="1027" t="s">
        <v>913</v>
      </c>
      <c r="AF40" s="1027"/>
      <c r="AG40" s="1027"/>
      <c r="AH40" s="1027"/>
      <c r="AI40" s="1027"/>
      <c r="AJ40" s="1027"/>
      <c r="AK40" s="1027"/>
      <c r="AL40" s="1027"/>
      <c r="AM40" s="1027"/>
      <c r="AN40" s="1027"/>
      <c r="AO40" s="1027"/>
      <c r="AP40" s="1027" t="s">
        <v>913</v>
      </c>
      <c r="AQ40" s="1027"/>
      <c r="AR40" s="1027"/>
      <c r="AS40" s="1027"/>
      <c r="AT40" s="1027"/>
      <c r="AU40" s="1027"/>
      <c r="AV40" s="1027"/>
      <c r="AW40" s="1027"/>
      <c r="AX40" s="1027"/>
      <c r="AY40" s="1027"/>
      <c r="AZ40" s="1027"/>
      <c r="BA40" s="1027" t="s">
        <v>913</v>
      </c>
      <c r="BB40" s="1027"/>
      <c r="BC40" s="1027"/>
      <c r="BD40" s="1027"/>
      <c r="BE40" s="1027"/>
      <c r="BF40" s="1027"/>
      <c r="BG40" s="1027"/>
      <c r="BH40" s="1027"/>
      <c r="BI40" s="1027"/>
      <c r="BJ40" s="1027"/>
      <c r="BK40" s="1027" t="s">
        <v>913</v>
      </c>
      <c r="BL40" s="1027"/>
      <c r="BM40" s="1027"/>
      <c r="BN40" s="1027"/>
      <c r="BO40" s="1027"/>
      <c r="BP40" s="1027"/>
      <c r="BQ40" s="1027"/>
      <c r="BR40" s="1027"/>
      <c r="BS40" s="1027"/>
      <c r="BT40" s="1027"/>
      <c r="BU40" s="1031" t="s">
        <v>913</v>
      </c>
      <c r="BV40" s="1031"/>
      <c r="BW40" s="1031"/>
      <c r="BX40" s="1031"/>
      <c r="BY40" s="1031"/>
      <c r="BZ40" s="1031"/>
      <c r="CA40" s="1031"/>
      <c r="CB40" s="1031"/>
      <c r="CC40" s="1031"/>
      <c r="CD40" s="1031"/>
    </row>
    <row r="41" spans="1:82" s="818" customFormat="1" ht="11.1" customHeight="1" thickTop="1" thickBot="1" x14ac:dyDescent="0.25">
      <c r="A41" s="1043" t="s">
        <v>1489</v>
      </c>
      <c r="B41" s="1043"/>
      <c r="C41" s="1043"/>
      <c r="D41" s="1043"/>
      <c r="E41" s="1043"/>
      <c r="F41" s="1043"/>
      <c r="G41" s="1043"/>
      <c r="H41" s="1043"/>
      <c r="I41" s="1043"/>
      <c r="J41" s="1043"/>
      <c r="K41" s="1043"/>
      <c r="L41" s="1043"/>
      <c r="M41" s="1043"/>
      <c r="N41" s="1043"/>
      <c r="O41" s="1043"/>
      <c r="P41" s="1043"/>
      <c r="Q41" s="1043"/>
      <c r="R41" s="1043"/>
      <c r="S41" s="1043"/>
      <c r="T41" s="1043"/>
      <c r="U41" s="1042">
        <f>U13+U28</f>
        <v>984178378.06000018</v>
      </c>
      <c r="V41" s="1042"/>
      <c r="W41" s="1042"/>
      <c r="X41" s="1042"/>
      <c r="Y41" s="1042"/>
      <c r="Z41" s="1042"/>
      <c r="AA41" s="1042"/>
      <c r="AB41" s="1042"/>
      <c r="AC41" s="1042"/>
      <c r="AD41" s="1042"/>
      <c r="AE41" s="1041">
        <f>SUM(AE13)</f>
        <v>458313050.87</v>
      </c>
      <c r="AF41" s="1041"/>
      <c r="AG41" s="1041"/>
      <c r="AH41" s="1041"/>
      <c r="AI41" s="1041"/>
      <c r="AJ41" s="1041"/>
      <c r="AK41" s="1041"/>
      <c r="AL41" s="1041"/>
      <c r="AM41" s="1041"/>
      <c r="AN41" s="1041"/>
      <c r="AO41" s="1041"/>
      <c r="AP41" s="1041">
        <f>SUM(AP13)</f>
        <v>6566198.7300000004</v>
      </c>
      <c r="AQ41" s="1041"/>
      <c r="AR41" s="1041"/>
      <c r="AS41" s="1041"/>
      <c r="AT41" s="1041"/>
      <c r="AU41" s="1041"/>
      <c r="AV41" s="1041"/>
      <c r="AW41" s="1041"/>
      <c r="AX41" s="1041"/>
      <c r="AY41" s="1041"/>
      <c r="AZ41" s="1041"/>
      <c r="BA41" s="1041">
        <f>SUM(BA28+BA13)</f>
        <v>1261706935.0500002</v>
      </c>
      <c r="BB41" s="1041"/>
      <c r="BC41" s="1041"/>
      <c r="BD41" s="1041"/>
      <c r="BE41" s="1041"/>
      <c r="BF41" s="1041"/>
      <c r="BG41" s="1041"/>
      <c r="BH41" s="1041"/>
      <c r="BI41" s="1041"/>
      <c r="BJ41" s="1041"/>
      <c r="BK41" s="1041">
        <f>SUM(BK13)</f>
        <v>472707357.17000002</v>
      </c>
      <c r="BL41" s="1041"/>
      <c r="BM41" s="1041"/>
      <c r="BN41" s="1041"/>
      <c r="BO41" s="1041"/>
      <c r="BP41" s="1041"/>
      <c r="BQ41" s="1041"/>
      <c r="BR41" s="1041"/>
      <c r="BS41" s="1041"/>
      <c r="BT41" s="1041"/>
      <c r="BU41" s="1042">
        <f>SUM(BU13)</f>
        <v>5908440.3800000008</v>
      </c>
      <c r="BV41" s="1042"/>
      <c r="BW41" s="1042"/>
      <c r="BX41" s="1042"/>
      <c r="BY41" s="1042"/>
      <c r="BZ41" s="1042"/>
      <c r="CA41" s="1042"/>
      <c r="CB41" s="1042"/>
      <c r="CC41" s="1042"/>
      <c r="CD41" s="1042"/>
    </row>
  </sheetData>
  <mergeCells count="255">
    <mergeCell ref="BU13:CD13"/>
    <mergeCell ref="AE28:AN28"/>
    <mergeCell ref="A1:CD1"/>
    <mergeCell ref="A2:CD2"/>
    <mergeCell ref="A3:CD3"/>
    <mergeCell ref="A4:CD4"/>
    <mergeCell ref="A5:CD5"/>
    <mergeCell ref="A6:CD6"/>
    <mergeCell ref="A7:CD7"/>
    <mergeCell ref="A13:T13"/>
    <mergeCell ref="U13:AD13"/>
    <mergeCell ref="AE13:AO13"/>
    <mergeCell ref="AP13:AZ13"/>
    <mergeCell ref="BA13:BJ13"/>
    <mergeCell ref="BK13:BT13"/>
    <mergeCell ref="BA27:BJ27"/>
    <mergeCell ref="BK27:BT27"/>
    <mergeCell ref="BU27:CD27"/>
    <mergeCell ref="A27:M27"/>
    <mergeCell ref="N27:T27"/>
    <mergeCell ref="U27:AD27"/>
    <mergeCell ref="AE27:AO27"/>
    <mergeCell ref="AP27:AZ27"/>
    <mergeCell ref="BU26:CD26"/>
    <mergeCell ref="BU39:CD39"/>
    <mergeCell ref="A39:M39"/>
    <mergeCell ref="N39:T39"/>
    <mergeCell ref="U39:AD39"/>
    <mergeCell ref="AE39:AO39"/>
    <mergeCell ref="AP39:AZ39"/>
    <mergeCell ref="BA41:BJ41"/>
    <mergeCell ref="BK41:BT41"/>
    <mergeCell ref="BU41:CD41"/>
    <mergeCell ref="U41:AD41"/>
    <mergeCell ref="AE41:AO41"/>
    <mergeCell ref="AP41:AZ41"/>
    <mergeCell ref="BA40:BJ40"/>
    <mergeCell ref="BK40:BT40"/>
    <mergeCell ref="BU40:CD40"/>
    <mergeCell ref="A41:T41"/>
    <mergeCell ref="A40:M40"/>
    <mergeCell ref="N40:T40"/>
    <mergeCell ref="U40:AD40"/>
    <mergeCell ref="AE40:AO40"/>
    <mergeCell ref="AP40:AZ40"/>
    <mergeCell ref="BA39:BJ39"/>
    <mergeCell ref="BK39:BT39"/>
    <mergeCell ref="BK36:BT36"/>
    <mergeCell ref="A36:M36"/>
    <mergeCell ref="N36:T36"/>
    <mergeCell ref="U36:AD36"/>
    <mergeCell ref="AE36:AO36"/>
    <mergeCell ref="AP36:AZ36"/>
    <mergeCell ref="BA35:BJ35"/>
    <mergeCell ref="BK35:BT35"/>
    <mergeCell ref="BA33:BJ33"/>
    <mergeCell ref="BK33:BT33"/>
    <mergeCell ref="A33:M33"/>
    <mergeCell ref="N33:T33"/>
    <mergeCell ref="U33:AD33"/>
    <mergeCell ref="AE33:AO33"/>
    <mergeCell ref="AP33:AZ33"/>
    <mergeCell ref="BU36:CD36"/>
    <mergeCell ref="BA36:BJ36"/>
    <mergeCell ref="BA26:BJ26"/>
    <mergeCell ref="BK26:BT26"/>
    <mergeCell ref="A26:M26"/>
    <mergeCell ref="N26:T26"/>
    <mergeCell ref="U26:AD26"/>
    <mergeCell ref="AE26:AO26"/>
    <mergeCell ref="AP26:AZ26"/>
    <mergeCell ref="BU35:CD35"/>
    <mergeCell ref="A35:M35"/>
    <mergeCell ref="N35:T35"/>
    <mergeCell ref="U35:AD35"/>
    <mergeCell ref="AE35:AO35"/>
    <mergeCell ref="AP35:AZ35"/>
    <mergeCell ref="BA34:BJ34"/>
    <mergeCell ref="BK34:BT34"/>
    <mergeCell ref="BU34:CD34"/>
    <mergeCell ref="A34:M34"/>
    <mergeCell ref="N34:T34"/>
    <mergeCell ref="U34:AD34"/>
    <mergeCell ref="AE34:AO34"/>
    <mergeCell ref="AP34:AZ34"/>
    <mergeCell ref="BU33:CD33"/>
    <mergeCell ref="BA38:BJ38"/>
    <mergeCell ref="BK38:BT38"/>
    <mergeCell ref="BU38:CD38"/>
    <mergeCell ref="A38:M38"/>
    <mergeCell ref="N38:T38"/>
    <mergeCell ref="U38:AD38"/>
    <mergeCell ref="AE38:AO38"/>
    <mergeCell ref="AP38:AZ38"/>
    <mergeCell ref="BA37:BJ37"/>
    <mergeCell ref="BK37:BT37"/>
    <mergeCell ref="BU37:CD37"/>
    <mergeCell ref="A37:M37"/>
    <mergeCell ref="N37:T37"/>
    <mergeCell ref="U37:AD37"/>
    <mergeCell ref="AE37:AO37"/>
    <mergeCell ref="AP37:AZ37"/>
    <mergeCell ref="BU32:CD32"/>
    <mergeCell ref="A32:M32"/>
    <mergeCell ref="N32:T32"/>
    <mergeCell ref="U32:AD32"/>
    <mergeCell ref="AE32:AO32"/>
    <mergeCell ref="AP32:AZ32"/>
    <mergeCell ref="BU31:CD31"/>
    <mergeCell ref="A31:M31"/>
    <mergeCell ref="N31:T31"/>
    <mergeCell ref="U31:AD31"/>
    <mergeCell ref="AE31:AO31"/>
    <mergeCell ref="AP31:AZ31"/>
    <mergeCell ref="BA31:BJ31"/>
    <mergeCell ref="BK31:BT31"/>
    <mergeCell ref="BA32:BJ32"/>
    <mergeCell ref="BK32:BT32"/>
    <mergeCell ref="BU30:CD30"/>
    <mergeCell ref="BA30:BJ30"/>
    <mergeCell ref="BK30:BT30"/>
    <mergeCell ref="A30:M30"/>
    <mergeCell ref="N30:T30"/>
    <mergeCell ref="U30:AD30"/>
    <mergeCell ref="AE30:AO30"/>
    <mergeCell ref="AP30:AZ30"/>
    <mergeCell ref="BA29:BJ29"/>
    <mergeCell ref="BK29:BT29"/>
    <mergeCell ref="BU29:CD29"/>
    <mergeCell ref="A29:M29"/>
    <mergeCell ref="N29:T29"/>
    <mergeCell ref="U29:AD29"/>
    <mergeCell ref="AE29:AO29"/>
    <mergeCell ref="AP29:AZ29"/>
    <mergeCell ref="BA24:BJ24"/>
    <mergeCell ref="BK24:BT24"/>
    <mergeCell ref="BU24:CD24"/>
    <mergeCell ref="A24:M24"/>
    <mergeCell ref="N24:T24"/>
    <mergeCell ref="U24:AD24"/>
    <mergeCell ref="AE24:AO24"/>
    <mergeCell ref="AP24:AZ24"/>
    <mergeCell ref="A28:T28"/>
    <mergeCell ref="BU28:CD28"/>
    <mergeCell ref="BA28:BJ28"/>
    <mergeCell ref="BU25:CD25"/>
    <mergeCell ref="A25:M25"/>
    <mergeCell ref="N25:T25"/>
    <mergeCell ref="U25:AD25"/>
    <mergeCell ref="AE25:AO25"/>
    <mergeCell ref="AP25:AZ25"/>
    <mergeCell ref="BA25:BJ25"/>
    <mergeCell ref="BK25:BT25"/>
    <mergeCell ref="BK28:BT28"/>
    <mergeCell ref="U28:AD28"/>
    <mergeCell ref="AP28:AZ28"/>
    <mergeCell ref="BA23:BJ23"/>
    <mergeCell ref="BK23:BT23"/>
    <mergeCell ref="BU23:CD23"/>
    <mergeCell ref="A23:M23"/>
    <mergeCell ref="N23:T23"/>
    <mergeCell ref="U23:AD23"/>
    <mergeCell ref="AE23:AO23"/>
    <mergeCell ref="AP23:AZ23"/>
    <mergeCell ref="BA22:BJ22"/>
    <mergeCell ref="BK22:BT22"/>
    <mergeCell ref="BU22:CD22"/>
    <mergeCell ref="A22:M22"/>
    <mergeCell ref="N22:T22"/>
    <mergeCell ref="U22:AD22"/>
    <mergeCell ref="AE22:AO22"/>
    <mergeCell ref="AP22:AZ22"/>
    <mergeCell ref="BA21:BJ21"/>
    <mergeCell ref="BK21:BT21"/>
    <mergeCell ref="BU21:CD21"/>
    <mergeCell ref="A21:M21"/>
    <mergeCell ref="N21:T21"/>
    <mergeCell ref="U21:AD21"/>
    <mergeCell ref="AE21:AO21"/>
    <mergeCell ref="AP21:AZ21"/>
    <mergeCell ref="BA20:BJ20"/>
    <mergeCell ref="BK20:BT20"/>
    <mergeCell ref="BU20:CD20"/>
    <mergeCell ref="A20:M20"/>
    <mergeCell ref="N20:T20"/>
    <mergeCell ref="U20:AD20"/>
    <mergeCell ref="AE20:AO20"/>
    <mergeCell ref="AP20:AZ20"/>
    <mergeCell ref="BA19:BJ19"/>
    <mergeCell ref="BK19:BT19"/>
    <mergeCell ref="BU19:CD19"/>
    <mergeCell ref="A19:M19"/>
    <mergeCell ref="N19:T19"/>
    <mergeCell ref="U19:AD19"/>
    <mergeCell ref="AE19:AO19"/>
    <mergeCell ref="AP19:AZ19"/>
    <mergeCell ref="BA18:BJ18"/>
    <mergeCell ref="BK18:BT18"/>
    <mergeCell ref="BU18:CD18"/>
    <mergeCell ref="A18:M18"/>
    <mergeCell ref="N18:T18"/>
    <mergeCell ref="U18:AD18"/>
    <mergeCell ref="AE18:AO18"/>
    <mergeCell ref="AP18:AZ18"/>
    <mergeCell ref="BA17:BJ17"/>
    <mergeCell ref="BK17:BT17"/>
    <mergeCell ref="BU17:CD17"/>
    <mergeCell ref="A17:M17"/>
    <mergeCell ref="N17:T17"/>
    <mergeCell ref="U17:AD17"/>
    <mergeCell ref="AE17:AO17"/>
    <mergeCell ref="AP17:AZ17"/>
    <mergeCell ref="BA16:BJ16"/>
    <mergeCell ref="BK16:BT16"/>
    <mergeCell ref="BU16:CD16"/>
    <mergeCell ref="A16:M16"/>
    <mergeCell ref="N16:T16"/>
    <mergeCell ref="U16:AD16"/>
    <mergeCell ref="AE16:AO16"/>
    <mergeCell ref="AP16:AZ16"/>
    <mergeCell ref="BU15:CD15"/>
    <mergeCell ref="BA15:BJ15"/>
    <mergeCell ref="BK15:BT15"/>
    <mergeCell ref="A15:M15"/>
    <mergeCell ref="N15:T15"/>
    <mergeCell ref="U15:AD15"/>
    <mergeCell ref="AE15:AO15"/>
    <mergeCell ref="AP15:AZ15"/>
    <mergeCell ref="BA14:BJ14"/>
    <mergeCell ref="BK14:BT14"/>
    <mergeCell ref="BU14:CD14"/>
    <mergeCell ref="A14:M14"/>
    <mergeCell ref="N14:T14"/>
    <mergeCell ref="U14:AD14"/>
    <mergeCell ref="AE14:AO14"/>
    <mergeCell ref="AP14:AZ14"/>
    <mergeCell ref="BA12:BJ12"/>
    <mergeCell ref="BK12:BT12"/>
    <mergeCell ref="BU12:CD12"/>
    <mergeCell ref="BU11:CD11"/>
    <mergeCell ref="A12:T12"/>
    <mergeCell ref="U12:AD12"/>
    <mergeCell ref="AE12:AO12"/>
    <mergeCell ref="AP12:AZ12"/>
    <mergeCell ref="AP11:AZ11"/>
    <mergeCell ref="BK11:BT11"/>
    <mergeCell ref="U10:AD11"/>
    <mergeCell ref="AE10:AZ10"/>
    <mergeCell ref="BA10:BJ11"/>
    <mergeCell ref="BK10:CD10"/>
    <mergeCell ref="AE11:AO11"/>
    <mergeCell ref="A8:T11"/>
    <mergeCell ref="U8:CD8"/>
    <mergeCell ref="U9:AZ9"/>
    <mergeCell ref="BA9:CD9"/>
  </mergeCells>
  <pageMargins left="0.39370078740157483" right="0.39370078740157483" top="0.39370078740157483" bottom="0.39370078740157483" header="0" footer="0"/>
  <pageSetup paperSize="9" scale="79" fitToHeight="0" pageOrder="overThenDown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outlinePr summaryBelow="0" summaryRight="0"/>
    <pageSetUpPr autoPageBreaks="0" fitToPage="1"/>
  </sheetPr>
  <dimension ref="A1:CD26"/>
  <sheetViews>
    <sheetView view="pageBreakPreview" zoomScale="60" workbookViewId="0">
      <selection activeCell="J2" sqref="J2:CD2"/>
    </sheetView>
  </sheetViews>
  <sheetFormatPr defaultColWidth="9" defaultRowHeight="11.4" customHeight="1" x14ac:dyDescent="0.2"/>
  <cols>
    <col min="1" max="8" width="1.5546875" style="812" customWidth="1"/>
    <col min="9" max="9" width="1" style="812" customWidth="1"/>
    <col min="10" max="10" width="0.5546875" style="812" customWidth="1"/>
    <col min="11" max="19" width="1.5546875" style="812" customWidth="1"/>
    <col min="20" max="20" width="1" style="812" customWidth="1"/>
    <col min="21" max="29" width="1.5546875" style="812" customWidth="1"/>
    <col min="30" max="30" width="0.5546875" style="812" customWidth="1"/>
    <col min="31" max="31" width="1" style="812" customWidth="1"/>
    <col min="32" max="38" width="1.5546875" style="812" customWidth="1"/>
    <col min="39" max="39" width="0.5546875" style="812" customWidth="1"/>
    <col min="40" max="41" width="1" style="812" customWidth="1"/>
    <col min="42" max="42" width="0.5546875" style="812" customWidth="1"/>
    <col min="43" max="48" width="1.5546875" style="812" customWidth="1"/>
    <col min="49" max="49" width="0.5546875" style="812" customWidth="1"/>
    <col min="50" max="50" width="1" style="812" customWidth="1"/>
    <col min="51" max="52" width="1.5546875" style="812" customWidth="1"/>
    <col min="53" max="53" width="1" style="812" customWidth="1"/>
    <col min="54" max="61" width="1.5546875" style="812" customWidth="1"/>
    <col min="62" max="62" width="1" style="812" customWidth="1"/>
    <col min="63" max="63" width="0.5546875" style="812" customWidth="1"/>
    <col min="64" max="81" width="1.5546875" style="812" customWidth="1"/>
    <col min="82" max="82" width="0.5546875" style="812" customWidth="1"/>
    <col min="83" max="16384" width="9" style="816"/>
  </cols>
  <sheetData>
    <row r="1" spans="1:82" ht="11.4" customHeight="1" x14ac:dyDescent="0.25">
      <c r="J1" s="1051" t="s">
        <v>998</v>
      </c>
      <c r="K1" s="1051"/>
      <c r="L1" s="1051"/>
      <c r="M1" s="1051"/>
      <c r="N1" s="1051"/>
      <c r="O1" s="1051"/>
      <c r="P1" s="1051"/>
      <c r="Q1" s="1051"/>
      <c r="R1" s="1051"/>
      <c r="S1" s="1051"/>
      <c r="T1" s="1051"/>
      <c r="U1" s="1051"/>
      <c r="V1" s="1051"/>
      <c r="W1" s="1051"/>
      <c r="X1" s="1051"/>
      <c r="Y1" s="1051"/>
      <c r="Z1" s="1051"/>
      <c r="AA1" s="1051"/>
      <c r="AB1" s="1051"/>
      <c r="AC1" s="1051"/>
      <c r="AD1" s="1051"/>
      <c r="AE1" s="1051"/>
      <c r="AF1" s="1051"/>
      <c r="AG1" s="1051"/>
      <c r="AH1" s="1051"/>
      <c r="AI1" s="1051"/>
      <c r="AJ1" s="1051"/>
      <c r="AK1" s="1051"/>
      <c r="AL1" s="1051"/>
      <c r="AM1" s="1051"/>
      <c r="AN1" s="1051"/>
      <c r="AO1" s="1051"/>
      <c r="AP1" s="1051"/>
      <c r="AQ1" s="1051"/>
      <c r="AR1" s="1051"/>
      <c r="AS1" s="1051"/>
      <c r="AT1" s="1051"/>
      <c r="AU1" s="1051"/>
      <c r="AV1" s="1051"/>
      <c r="AW1" s="1051"/>
      <c r="AX1" s="1051"/>
      <c r="AY1" s="1051"/>
      <c r="AZ1" s="1051"/>
      <c r="BA1" s="1051"/>
      <c r="BB1" s="1051"/>
      <c r="BC1" s="1051"/>
      <c r="BD1" s="1051"/>
      <c r="BE1" s="1051"/>
      <c r="BF1" s="1051"/>
      <c r="BG1" s="1051"/>
      <c r="BH1" s="1051"/>
      <c r="BI1" s="1051"/>
      <c r="BJ1" s="1051"/>
      <c r="BK1" s="1051"/>
      <c r="BL1" s="1051"/>
      <c r="BM1" s="1051"/>
      <c r="BN1" s="1051"/>
      <c r="BO1" s="1051"/>
      <c r="BP1" s="1051"/>
      <c r="BQ1" s="1051"/>
      <c r="BR1" s="1051"/>
      <c r="BS1" s="1051"/>
      <c r="BT1" s="1051"/>
      <c r="BU1" s="1051"/>
      <c r="BV1" s="1051"/>
      <c r="BW1" s="1051"/>
      <c r="BX1" s="1051"/>
      <c r="BY1" s="1051"/>
      <c r="BZ1" s="1051"/>
      <c r="CA1" s="1051"/>
      <c r="CB1" s="1051"/>
      <c r="CC1" s="1051"/>
      <c r="CD1" s="1051"/>
    </row>
    <row r="2" spans="1:82" ht="11.4" customHeight="1" x14ac:dyDescent="0.25">
      <c r="J2" s="1051" t="s">
        <v>909</v>
      </c>
      <c r="K2" s="1051"/>
      <c r="L2" s="1051"/>
      <c r="M2" s="1051"/>
      <c r="N2" s="1051"/>
      <c r="O2" s="1051"/>
      <c r="P2" s="1051"/>
      <c r="Q2" s="1051"/>
      <c r="R2" s="1051"/>
      <c r="S2" s="1051"/>
      <c r="T2" s="1051"/>
      <c r="U2" s="1051"/>
      <c r="V2" s="1051"/>
      <c r="W2" s="1051"/>
      <c r="X2" s="1051"/>
      <c r="Y2" s="1051"/>
      <c r="Z2" s="1051"/>
      <c r="AA2" s="1051"/>
      <c r="AB2" s="1051"/>
      <c r="AC2" s="1051"/>
      <c r="AD2" s="1051"/>
      <c r="AE2" s="1051"/>
      <c r="AF2" s="1051"/>
      <c r="AG2" s="1051"/>
      <c r="AH2" s="1051"/>
      <c r="AI2" s="1051"/>
      <c r="AJ2" s="1051"/>
      <c r="AK2" s="1051"/>
      <c r="AL2" s="1051"/>
      <c r="AM2" s="1051"/>
      <c r="AN2" s="1051"/>
      <c r="AO2" s="1051"/>
      <c r="AP2" s="1051"/>
      <c r="AQ2" s="1051"/>
      <c r="AR2" s="1051"/>
      <c r="AS2" s="1051"/>
      <c r="AT2" s="1051"/>
      <c r="AU2" s="1051"/>
      <c r="AV2" s="1051"/>
      <c r="AW2" s="1051"/>
      <c r="AX2" s="1051"/>
      <c r="AY2" s="1051"/>
      <c r="AZ2" s="1051"/>
      <c r="BA2" s="1051"/>
      <c r="BB2" s="1051"/>
      <c r="BC2" s="1051"/>
      <c r="BD2" s="1051"/>
      <c r="BE2" s="1051"/>
      <c r="BF2" s="1051"/>
      <c r="BG2" s="1051"/>
      <c r="BH2" s="1051"/>
      <c r="BI2" s="1051"/>
      <c r="BJ2" s="1051"/>
      <c r="BK2" s="1051"/>
      <c r="BL2" s="1051"/>
      <c r="BM2" s="1051"/>
      <c r="BN2" s="1051"/>
      <c r="BO2" s="1051"/>
      <c r="BP2" s="1051"/>
      <c r="BQ2" s="1051"/>
      <c r="BR2" s="1051"/>
      <c r="BS2" s="1051"/>
      <c r="BT2" s="1051"/>
      <c r="BU2" s="1051"/>
      <c r="BV2" s="1051"/>
      <c r="BW2" s="1051"/>
      <c r="BX2" s="1051"/>
      <c r="BY2" s="1051"/>
      <c r="BZ2" s="1051"/>
      <c r="CA2" s="1051"/>
      <c r="CB2" s="1051"/>
      <c r="CC2" s="1051"/>
      <c r="CD2" s="1051"/>
    </row>
    <row r="3" spans="1:82" ht="11.4" customHeight="1" x14ac:dyDescent="0.25">
      <c r="J3" s="1051" t="s">
        <v>1031</v>
      </c>
      <c r="K3" s="1051"/>
      <c r="L3" s="1051"/>
      <c r="M3" s="1051"/>
      <c r="N3" s="1051"/>
      <c r="O3" s="1051"/>
      <c r="P3" s="1051"/>
      <c r="Q3" s="1051"/>
      <c r="R3" s="1051"/>
      <c r="S3" s="1051"/>
      <c r="T3" s="1051"/>
      <c r="U3" s="1051"/>
      <c r="V3" s="1051"/>
      <c r="W3" s="1051"/>
      <c r="X3" s="1051"/>
      <c r="Y3" s="1051"/>
      <c r="Z3" s="1051"/>
      <c r="AA3" s="1051"/>
      <c r="AB3" s="1051"/>
      <c r="AC3" s="1051"/>
      <c r="AD3" s="1051"/>
      <c r="AE3" s="1051"/>
      <c r="AF3" s="1051"/>
      <c r="AG3" s="1051"/>
      <c r="AH3" s="1051"/>
      <c r="AI3" s="1051"/>
      <c r="AJ3" s="1051"/>
      <c r="AK3" s="1051"/>
      <c r="AL3" s="1051"/>
      <c r="AM3" s="1051"/>
      <c r="AN3" s="1051"/>
      <c r="AO3" s="1051"/>
      <c r="AP3" s="1051"/>
      <c r="AQ3" s="1051"/>
      <c r="AR3" s="1051"/>
      <c r="AS3" s="1051"/>
      <c r="AT3" s="1051"/>
      <c r="AU3" s="1051"/>
      <c r="AV3" s="1051"/>
      <c r="AW3" s="1051"/>
      <c r="AX3" s="1051"/>
      <c r="AY3" s="1051"/>
      <c r="AZ3" s="1051"/>
      <c r="BA3" s="1051"/>
      <c r="BB3" s="1051"/>
      <c r="BC3" s="1051"/>
      <c r="BD3" s="1051"/>
      <c r="BE3" s="1051"/>
      <c r="BF3" s="1051"/>
      <c r="BG3" s="1051"/>
      <c r="BH3" s="1051"/>
      <c r="BI3" s="1051"/>
      <c r="BJ3" s="1051"/>
      <c r="BK3" s="1051"/>
      <c r="BL3" s="1051"/>
      <c r="BM3" s="1051"/>
      <c r="BN3" s="1051"/>
      <c r="BO3" s="1051"/>
      <c r="BP3" s="1051"/>
      <c r="BQ3" s="1051"/>
      <c r="BR3" s="1051"/>
      <c r="BS3" s="1051"/>
      <c r="BT3" s="1051"/>
      <c r="BU3" s="1051"/>
      <c r="BV3" s="1051"/>
      <c r="BW3" s="1051"/>
      <c r="BX3" s="1051"/>
      <c r="BY3" s="1051"/>
      <c r="BZ3" s="1051"/>
      <c r="CA3" s="1051"/>
      <c r="CB3" s="1051"/>
      <c r="CC3" s="1051"/>
      <c r="CD3" s="1051"/>
    </row>
    <row r="4" spans="1:82" ht="11.4" customHeight="1" x14ac:dyDescent="0.25">
      <c r="G4" s="820"/>
      <c r="J4" s="1051" t="s">
        <v>1562</v>
      </c>
      <c r="K4" s="1051"/>
      <c r="L4" s="1051"/>
      <c r="M4" s="1051"/>
      <c r="N4" s="1051"/>
      <c r="O4" s="1051"/>
      <c r="P4" s="1051"/>
      <c r="Q4" s="1051"/>
      <c r="R4" s="1051"/>
      <c r="S4" s="1051"/>
      <c r="T4" s="1051"/>
      <c r="U4" s="1051"/>
      <c r="V4" s="1051"/>
      <c r="W4" s="1051"/>
      <c r="X4" s="1051"/>
      <c r="Y4" s="1051"/>
      <c r="Z4" s="1051"/>
      <c r="AA4" s="1051"/>
      <c r="AB4" s="1051"/>
      <c r="AC4" s="1051"/>
      <c r="AD4" s="1051"/>
      <c r="AE4" s="1051"/>
      <c r="AF4" s="1051"/>
      <c r="AG4" s="1051"/>
      <c r="AH4" s="1051"/>
      <c r="AI4" s="1051"/>
      <c r="AJ4" s="1051"/>
      <c r="AK4" s="1051"/>
      <c r="AL4" s="1051"/>
      <c r="AM4" s="1051"/>
      <c r="AN4" s="1051"/>
      <c r="AO4" s="1051"/>
      <c r="AP4" s="1051"/>
      <c r="AQ4" s="1051"/>
      <c r="AR4" s="1051"/>
      <c r="AS4" s="1051"/>
      <c r="AT4" s="1051"/>
      <c r="AU4" s="1051"/>
      <c r="AV4" s="1051"/>
      <c r="AW4" s="1051"/>
      <c r="AX4" s="1051"/>
      <c r="AY4" s="1051"/>
      <c r="AZ4" s="1051"/>
      <c r="BA4" s="1051"/>
      <c r="BB4" s="1051"/>
      <c r="BC4" s="1051"/>
      <c r="BD4" s="1051"/>
      <c r="BE4" s="1051"/>
      <c r="BF4" s="1051"/>
      <c r="BG4" s="1051"/>
      <c r="BH4" s="1051"/>
      <c r="BI4" s="1051"/>
      <c r="BJ4" s="1051"/>
      <c r="BK4" s="1051"/>
      <c r="BL4" s="1051"/>
      <c r="BM4" s="1051"/>
      <c r="BN4" s="1051"/>
      <c r="BO4" s="1051"/>
      <c r="BP4" s="1051"/>
      <c r="BQ4" s="1051"/>
      <c r="BR4" s="1051"/>
      <c r="BS4" s="1051"/>
      <c r="BT4" s="1051"/>
      <c r="BU4" s="1051"/>
      <c r="BV4" s="1051"/>
      <c r="BW4" s="1051"/>
      <c r="BX4" s="1051"/>
      <c r="BY4" s="1051"/>
      <c r="BZ4" s="1051"/>
      <c r="CA4" s="1051"/>
      <c r="CB4" s="1051"/>
      <c r="CC4" s="1051"/>
      <c r="CD4" s="1051"/>
    </row>
    <row r="5" spans="1:82" s="820" customFormat="1" ht="11.1" customHeight="1" x14ac:dyDescent="0.2">
      <c r="A5" s="1072"/>
      <c r="B5" s="1072"/>
      <c r="C5" s="1072"/>
      <c r="D5" s="1072"/>
      <c r="E5" s="1072"/>
      <c r="F5" s="1072"/>
      <c r="G5" s="1073"/>
      <c r="H5" s="1073"/>
      <c r="I5" s="1073"/>
      <c r="J5" s="1073"/>
      <c r="K5" s="1073"/>
      <c r="L5" s="1073"/>
      <c r="M5" s="1073"/>
      <c r="N5" s="1073"/>
      <c r="O5" s="1073"/>
      <c r="P5" s="1073"/>
      <c r="Q5" s="1073"/>
      <c r="R5" s="1073"/>
      <c r="S5" s="1073"/>
      <c r="T5" s="1073"/>
      <c r="U5" s="1073"/>
      <c r="V5" s="1073"/>
      <c r="W5" s="1073"/>
      <c r="X5" s="1073"/>
      <c r="Y5" s="1073"/>
      <c r="Z5" s="1073"/>
      <c r="AA5" s="1073"/>
      <c r="AB5" s="1073"/>
      <c r="AC5" s="1073"/>
      <c r="AD5" s="1073"/>
      <c r="AE5" s="1073"/>
      <c r="AF5" s="1073"/>
      <c r="AG5" s="1073"/>
      <c r="AH5" s="1073"/>
      <c r="AI5" s="1073"/>
      <c r="AJ5" s="1073"/>
      <c r="AK5" s="1073"/>
      <c r="AL5" s="1073"/>
      <c r="AM5" s="1073"/>
      <c r="AN5" s="1073"/>
      <c r="AO5" s="1073"/>
      <c r="AP5" s="1073"/>
      <c r="AQ5" s="1073"/>
      <c r="AR5" s="1073"/>
      <c r="AS5" s="821"/>
      <c r="AT5" s="821"/>
      <c r="AU5" s="821"/>
      <c r="AV5" s="821"/>
      <c r="AW5" s="821"/>
      <c r="AX5" s="821"/>
      <c r="AY5" s="821"/>
      <c r="AZ5" s="821"/>
      <c r="BA5" s="821"/>
      <c r="BB5" s="821"/>
      <c r="BC5" s="821"/>
      <c r="BD5" s="821"/>
      <c r="BE5" s="821"/>
      <c r="BF5" s="821"/>
      <c r="BG5" s="821"/>
      <c r="BH5" s="821"/>
      <c r="BI5" s="821"/>
      <c r="BJ5" s="821"/>
      <c r="BK5" s="821"/>
      <c r="BL5" s="821"/>
      <c r="BM5" s="821"/>
    </row>
    <row r="6" spans="1:82" ht="12" customHeight="1" x14ac:dyDescent="0.25">
      <c r="A6" s="1052" t="s">
        <v>1523</v>
      </c>
      <c r="B6" s="1052"/>
      <c r="C6" s="1052"/>
      <c r="D6" s="1052"/>
      <c r="E6" s="1052"/>
      <c r="F6" s="1052"/>
      <c r="G6" s="1052"/>
      <c r="H6" s="1052"/>
      <c r="I6" s="1052"/>
      <c r="J6" s="1052"/>
      <c r="K6" s="1052"/>
      <c r="L6" s="1052"/>
      <c r="M6" s="1052"/>
      <c r="N6" s="1052"/>
      <c r="O6" s="1052"/>
      <c r="P6" s="1052"/>
      <c r="Q6" s="1052"/>
      <c r="R6" s="1052"/>
      <c r="S6" s="1052"/>
      <c r="T6" s="1052"/>
      <c r="U6" s="1052"/>
      <c r="V6" s="1052"/>
      <c r="W6" s="1052"/>
      <c r="X6" s="1052"/>
      <c r="Y6" s="1052"/>
      <c r="Z6" s="1052"/>
      <c r="AA6" s="1052"/>
      <c r="AB6" s="1052"/>
      <c r="AC6" s="1052"/>
      <c r="AD6" s="1052"/>
      <c r="AE6" s="1052"/>
      <c r="AF6" s="1052"/>
      <c r="AG6" s="1052"/>
      <c r="AH6" s="1052"/>
      <c r="AI6" s="1052"/>
      <c r="AJ6" s="1052"/>
      <c r="AK6" s="1052"/>
      <c r="AL6" s="1052"/>
      <c r="AM6" s="1052"/>
      <c r="AN6" s="1052"/>
      <c r="AO6" s="1052"/>
      <c r="AP6" s="1052"/>
      <c r="AQ6" s="1052"/>
      <c r="AR6" s="1052"/>
      <c r="AS6" s="1052"/>
      <c r="AT6" s="1052"/>
      <c r="AU6" s="1052"/>
      <c r="AV6" s="1052"/>
      <c r="AW6" s="1052"/>
      <c r="AX6" s="1052"/>
      <c r="AY6" s="1052"/>
      <c r="AZ6" s="1052"/>
      <c r="BA6" s="1052"/>
      <c r="BB6" s="1052"/>
      <c r="BC6" s="1052"/>
      <c r="BD6" s="1052"/>
      <c r="BE6" s="1052"/>
      <c r="BF6" s="1052"/>
      <c r="BG6" s="1052"/>
      <c r="BH6" s="1052"/>
      <c r="BI6" s="1052"/>
      <c r="BJ6" s="1052"/>
      <c r="BK6" s="1052"/>
      <c r="BL6" s="1052"/>
      <c r="BM6" s="1052"/>
      <c r="BN6" s="1052"/>
      <c r="BO6" s="1052"/>
      <c r="BP6" s="1052"/>
      <c r="BQ6" s="1052"/>
      <c r="BR6" s="1052"/>
      <c r="BS6" s="1052"/>
      <c r="BT6" s="1052"/>
      <c r="BU6" s="1052"/>
      <c r="BV6" s="1052"/>
      <c r="BW6" s="1052"/>
      <c r="BX6" s="1052"/>
      <c r="BY6" s="1052"/>
      <c r="BZ6" s="1052"/>
      <c r="CA6" s="1052"/>
      <c r="CB6" s="1052"/>
      <c r="CC6" s="1052"/>
      <c r="CD6" s="1052"/>
    </row>
    <row r="7" spans="1:82" s="812" customFormat="1" ht="10.5" customHeight="1" x14ac:dyDescent="0.2"/>
    <row r="8" spans="1:82" s="813" customFormat="1" ht="10.5" customHeight="1" x14ac:dyDescent="0.3">
      <c r="A8" s="1018" t="s">
        <v>1450</v>
      </c>
      <c r="B8" s="1018"/>
      <c r="C8" s="1018"/>
      <c r="D8" s="1018"/>
      <c r="E8" s="1018"/>
      <c r="F8" s="1018"/>
      <c r="G8" s="1018"/>
      <c r="H8" s="1018"/>
      <c r="I8" s="1018"/>
      <c r="J8" s="1018"/>
      <c r="K8" s="1018"/>
      <c r="L8" s="1018"/>
      <c r="M8" s="1018"/>
      <c r="N8" s="1018"/>
      <c r="O8" s="1018"/>
      <c r="P8" s="1018"/>
      <c r="Q8" s="1018"/>
      <c r="R8" s="1018"/>
      <c r="S8" s="1018"/>
      <c r="T8" s="1018"/>
      <c r="U8" s="1017" t="s">
        <v>1451</v>
      </c>
      <c r="V8" s="1017"/>
      <c r="W8" s="1017"/>
      <c r="X8" s="1017"/>
      <c r="Y8" s="1017"/>
      <c r="Z8" s="1017"/>
      <c r="AA8" s="1017"/>
      <c r="AB8" s="1017"/>
      <c r="AC8" s="1017"/>
      <c r="AD8" s="1017"/>
      <c r="AE8" s="1017"/>
      <c r="AF8" s="1017"/>
      <c r="AG8" s="1017"/>
      <c r="AH8" s="1017"/>
      <c r="AI8" s="1017"/>
      <c r="AJ8" s="1017"/>
      <c r="AK8" s="1017"/>
      <c r="AL8" s="1017"/>
      <c r="AM8" s="1017"/>
      <c r="AN8" s="1017"/>
      <c r="AO8" s="1017"/>
      <c r="AP8" s="1017"/>
      <c r="AQ8" s="1017"/>
      <c r="AR8" s="1017"/>
      <c r="AS8" s="1017"/>
      <c r="AT8" s="1017"/>
      <c r="AU8" s="1017"/>
      <c r="AV8" s="1017"/>
      <c r="AW8" s="1017"/>
      <c r="AX8" s="1017"/>
      <c r="AY8" s="1017"/>
      <c r="AZ8" s="1017"/>
      <c r="BA8" s="1017"/>
      <c r="BB8" s="1017"/>
      <c r="BC8" s="1017"/>
      <c r="BD8" s="1017"/>
      <c r="BE8" s="1017"/>
      <c r="BF8" s="1017"/>
      <c r="BG8" s="1017"/>
      <c r="BH8" s="1017"/>
      <c r="BI8" s="1017"/>
      <c r="BJ8" s="1017"/>
      <c r="BK8" s="1017"/>
      <c r="BL8" s="1017"/>
      <c r="BM8" s="1017"/>
      <c r="BN8" s="1017"/>
      <c r="BO8" s="1017"/>
      <c r="BP8" s="1017"/>
      <c r="BQ8" s="1017"/>
      <c r="BR8" s="1017"/>
      <c r="BS8" s="1017"/>
      <c r="BT8" s="1017"/>
      <c r="BU8" s="1017"/>
      <c r="BV8" s="1017"/>
      <c r="BW8" s="1017"/>
      <c r="BX8" s="1017"/>
      <c r="BY8" s="1017"/>
      <c r="BZ8" s="1017"/>
      <c r="CA8" s="1017"/>
      <c r="CB8" s="1017"/>
      <c r="CC8" s="1017"/>
      <c r="CD8" s="1017"/>
    </row>
    <row r="9" spans="1:82" s="813" customFormat="1" ht="10.5" customHeight="1" x14ac:dyDescent="0.3">
      <c r="A9" s="1023"/>
      <c r="B9" s="1023"/>
      <c r="C9" s="1023"/>
      <c r="D9" s="1023"/>
      <c r="E9" s="1023"/>
      <c r="F9" s="1023"/>
      <c r="G9" s="1023"/>
      <c r="H9" s="1023"/>
      <c r="I9" s="1023"/>
      <c r="J9" s="1023"/>
      <c r="K9" s="1023"/>
      <c r="L9" s="1023"/>
      <c r="M9" s="1023"/>
      <c r="N9" s="1023"/>
      <c r="O9" s="1023"/>
      <c r="P9" s="1023"/>
      <c r="Q9" s="1023"/>
      <c r="R9" s="1023"/>
      <c r="S9" s="1023"/>
      <c r="T9" s="1024"/>
      <c r="U9" s="1017" t="s">
        <v>1452</v>
      </c>
      <c r="V9" s="1017"/>
      <c r="W9" s="1017"/>
      <c r="X9" s="1017"/>
      <c r="Y9" s="1017"/>
      <c r="Z9" s="1017"/>
      <c r="AA9" s="1017"/>
      <c r="AB9" s="1017"/>
      <c r="AC9" s="1017"/>
      <c r="AD9" s="1017"/>
      <c r="AE9" s="1017"/>
      <c r="AF9" s="1017"/>
      <c r="AG9" s="1017"/>
      <c r="AH9" s="1017"/>
      <c r="AI9" s="1017"/>
      <c r="AJ9" s="1017"/>
      <c r="AK9" s="1017"/>
      <c r="AL9" s="1017"/>
      <c r="AM9" s="1017"/>
      <c r="AN9" s="1017"/>
      <c r="AO9" s="1017"/>
      <c r="AP9" s="1017"/>
      <c r="AQ9" s="1017"/>
      <c r="AR9" s="1017"/>
      <c r="AS9" s="1017"/>
      <c r="AT9" s="1017"/>
      <c r="AU9" s="1017"/>
      <c r="AV9" s="1017"/>
      <c r="AW9" s="1017"/>
      <c r="AX9" s="1017"/>
      <c r="AY9" s="1017"/>
      <c r="AZ9" s="1017"/>
      <c r="BA9" s="1017" t="s">
        <v>1453</v>
      </c>
      <c r="BB9" s="1017"/>
      <c r="BC9" s="1017"/>
      <c r="BD9" s="1017"/>
      <c r="BE9" s="1017"/>
      <c r="BF9" s="1017"/>
      <c r="BG9" s="1017"/>
      <c r="BH9" s="1017"/>
      <c r="BI9" s="1017"/>
      <c r="BJ9" s="1017"/>
      <c r="BK9" s="1017"/>
      <c r="BL9" s="1017"/>
      <c r="BM9" s="1017"/>
      <c r="BN9" s="1017"/>
      <c r="BO9" s="1017"/>
      <c r="BP9" s="1017"/>
      <c r="BQ9" s="1017"/>
      <c r="BR9" s="1017"/>
      <c r="BS9" s="1017"/>
      <c r="BT9" s="1017"/>
      <c r="BU9" s="1017"/>
      <c r="BV9" s="1017"/>
      <c r="BW9" s="1017"/>
      <c r="BX9" s="1017"/>
      <c r="BY9" s="1017"/>
      <c r="BZ9" s="1017"/>
      <c r="CA9" s="1017"/>
      <c r="CB9" s="1017"/>
      <c r="CC9" s="1017"/>
      <c r="CD9" s="1017"/>
    </row>
    <row r="10" spans="1:82" s="814" customFormat="1" ht="11.1" customHeight="1" x14ac:dyDescent="0.3">
      <c r="A10" s="1023"/>
      <c r="B10" s="1023"/>
      <c r="C10" s="1023"/>
      <c r="D10" s="1023"/>
      <c r="E10" s="1023"/>
      <c r="F10" s="1023"/>
      <c r="G10" s="1023"/>
      <c r="H10" s="1023"/>
      <c r="I10" s="1023"/>
      <c r="J10" s="1023"/>
      <c r="K10" s="1023"/>
      <c r="L10" s="1023"/>
      <c r="M10" s="1023"/>
      <c r="N10" s="1023"/>
      <c r="O10" s="1023"/>
      <c r="P10" s="1023"/>
      <c r="Q10" s="1023"/>
      <c r="R10" s="1023"/>
      <c r="S10" s="1023"/>
      <c r="T10" s="1024"/>
      <c r="U10" s="1018" t="s">
        <v>1454</v>
      </c>
      <c r="V10" s="1018"/>
      <c r="W10" s="1018"/>
      <c r="X10" s="1018"/>
      <c r="Y10" s="1018"/>
      <c r="Z10" s="1018"/>
      <c r="AA10" s="1018"/>
      <c r="AB10" s="1018"/>
      <c r="AC10" s="1018"/>
      <c r="AD10" s="1018"/>
      <c r="AE10" s="1017" t="s">
        <v>1455</v>
      </c>
      <c r="AF10" s="1017"/>
      <c r="AG10" s="1017"/>
      <c r="AH10" s="1017"/>
      <c r="AI10" s="1017"/>
      <c r="AJ10" s="1017"/>
      <c r="AK10" s="1017"/>
      <c r="AL10" s="1017"/>
      <c r="AM10" s="1017"/>
      <c r="AN10" s="1017"/>
      <c r="AO10" s="1017"/>
      <c r="AP10" s="1017"/>
      <c r="AQ10" s="1017"/>
      <c r="AR10" s="1017"/>
      <c r="AS10" s="1017"/>
      <c r="AT10" s="1017"/>
      <c r="AU10" s="1017"/>
      <c r="AV10" s="1017"/>
      <c r="AW10" s="1017"/>
      <c r="AX10" s="1017"/>
      <c r="AY10" s="1017"/>
      <c r="AZ10" s="1017"/>
      <c r="BA10" s="1021" t="s">
        <v>1454</v>
      </c>
      <c r="BB10" s="1021"/>
      <c r="BC10" s="1021"/>
      <c r="BD10" s="1021"/>
      <c r="BE10" s="1021"/>
      <c r="BF10" s="1021"/>
      <c r="BG10" s="1021"/>
      <c r="BH10" s="1021"/>
      <c r="BI10" s="1021"/>
      <c r="BJ10" s="1021"/>
      <c r="BK10" s="1017" t="s">
        <v>1455</v>
      </c>
      <c r="BL10" s="1017"/>
      <c r="BM10" s="1017"/>
      <c r="BN10" s="1017"/>
      <c r="BO10" s="1017"/>
      <c r="BP10" s="1017"/>
      <c r="BQ10" s="1017"/>
      <c r="BR10" s="1017"/>
      <c r="BS10" s="1017"/>
      <c r="BT10" s="1017"/>
      <c r="BU10" s="1017"/>
      <c r="BV10" s="1017"/>
      <c r="BW10" s="1017"/>
      <c r="BX10" s="1017"/>
      <c r="BY10" s="1017"/>
      <c r="BZ10" s="1017"/>
      <c r="CA10" s="1017"/>
      <c r="CB10" s="1017"/>
      <c r="CC10" s="1017"/>
      <c r="CD10" s="1017"/>
    </row>
    <row r="11" spans="1:82" s="815" customFormat="1" ht="35.1" customHeight="1" x14ac:dyDescent="0.3">
      <c r="A11" s="1019"/>
      <c r="B11" s="1019"/>
      <c r="C11" s="1019"/>
      <c r="D11" s="1019"/>
      <c r="E11" s="1019"/>
      <c r="F11" s="1019"/>
      <c r="G11" s="1019"/>
      <c r="H11" s="1019"/>
      <c r="I11" s="1019"/>
      <c r="J11" s="1019"/>
      <c r="K11" s="1019"/>
      <c r="L11" s="1019"/>
      <c r="M11" s="1019"/>
      <c r="N11" s="1019"/>
      <c r="O11" s="1019"/>
      <c r="P11" s="1019"/>
      <c r="Q11" s="1019"/>
      <c r="R11" s="1019"/>
      <c r="S11" s="1019"/>
      <c r="T11" s="1020"/>
      <c r="U11" s="1019"/>
      <c r="V11" s="1019"/>
      <c r="W11" s="1019"/>
      <c r="X11" s="1019"/>
      <c r="Y11" s="1019"/>
      <c r="Z11" s="1019"/>
      <c r="AA11" s="1019"/>
      <c r="AB11" s="1019"/>
      <c r="AC11" s="1019"/>
      <c r="AD11" s="1020"/>
      <c r="AE11" s="1017" t="s">
        <v>1456</v>
      </c>
      <c r="AF11" s="1017"/>
      <c r="AG11" s="1017"/>
      <c r="AH11" s="1017"/>
      <c r="AI11" s="1017"/>
      <c r="AJ11" s="1017"/>
      <c r="AK11" s="1017"/>
      <c r="AL11" s="1017"/>
      <c r="AM11" s="1017"/>
      <c r="AN11" s="1017"/>
      <c r="AO11" s="1017"/>
      <c r="AP11" s="1017" t="s">
        <v>1457</v>
      </c>
      <c r="AQ11" s="1017"/>
      <c r="AR11" s="1017"/>
      <c r="AS11" s="1017"/>
      <c r="AT11" s="1017"/>
      <c r="AU11" s="1017"/>
      <c r="AV11" s="1017"/>
      <c r="AW11" s="1017"/>
      <c r="AX11" s="1017"/>
      <c r="AY11" s="1017"/>
      <c r="AZ11" s="1017"/>
      <c r="BA11" s="1022"/>
      <c r="BB11" s="1019"/>
      <c r="BC11" s="1019"/>
      <c r="BD11" s="1019"/>
      <c r="BE11" s="1019"/>
      <c r="BF11" s="1019"/>
      <c r="BG11" s="1019"/>
      <c r="BH11" s="1019"/>
      <c r="BI11" s="1019"/>
      <c r="BJ11" s="1020"/>
      <c r="BK11" s="1017" t="s">
        <v>1456</v>
      </c>
      <c r="BL11" s="1017"/>
      <c r="BM11" s="1017"/>
      <c r="BN11" s="1017"/>
      <c r="BO11" s="1017"/>
      <c r="BP11" s="1017"/>
      <c r="BQ11" s="1017"/>
      <c r="BR11" s="1017"/>
      <c r="BS11" s="1017"/>
      <c r="BT11" s="1017"/>
      <c r="BU11" s="1017" t="s">
        <v>1457</v>
      </c>
      <c r="BV11" s="1017"/>
      <c r="BW11" s="1017"/>
      <c r="BX11" s="1017"/>
      <c r="BY11" s="1017"/>
      <c r="BZ11" s="1017"/>
      <c r="CA11" s="1017"/>
      <c r="CB11" s="1017"/>
      <c r="CC11" s="1017"/>
      <c r="CD11" s="1017"/>
    </row>
    <row r="12" spans="1:82" s="815" customFormat="1" ht="11.1" customHeight="1" thickBot="1" x14ac:dyDescent="0.35">
      <c r="A12" s="1016" t="s">
        <v>1025</v>
      </c>
      <c r="B12" s="1016"/>
      <c r="C12" s="1016"/>
      <c r="D12" s="1016"/>
      <c r="E12" s="1016"/>
      <c r="F12" s="1016"/>
      <c r="G12" s="1016"/>
      <c r="H12" s="1016"/>
      <c r="I12" s="1016"/>
      <c r="J12" s="1016"/>
      <c r="K12" s="1016"/>
      <c r="L12" s="1016"/>
      <c r="M12" s="1016"/>
      <c r="N12" s="1016"/>
      <c r="O12" s="1016"/>
      <c r="P12" s="1016"/>
      <c r="Q12" s="1016"/>
      <c r="R12" s="1016"/>
      <c r="S12" s="1016"/>
      <c r="T12" s="1016"/>
      <c r="U12" s="1016" t="s">
        <v>1127</v>
      </c>
      <c r="V12" s="1016"/>
      <c r="W12" s="1016"/>
      <c r="X12" s="1016"/>
      <c r="Y12" s="1016"/>
      <c r="Z12" s="1016"/>
      <c r="AA12" s="1016"/>
      <c r="AB12" s="1016"/>
      <c r="AC12" s="1016"/>
      <c r="AD12" s="1016"/>
      <c r="AE12" s="1016" t="s">
        <v>1029</v>
      </c>
      <c r="AF12" s="1016"/>
      <c r="AG12" s="1016"/>
      <c r="AH12" s="1016"/>
      <c r="AI12" s="1016"/>
      <c r="AJ12" s="1016"/>
      <c r="AK12" s="1016"/>
      <c r="AL12" s="1016"/>
      <c r="AM12" s="1016"/>
      <c r="AN12" s="1016"/>
      <c r="AO12" s="1016"/>
      <c r="AP12" s="1016" t="s">
        <v>1458</v>
      </c>
      <c r="AQ12" s="1016"/>
      <c r="AR12" s="1016"/>
      <c r="AS12" s="1016"/>
      <c r="AT12" s="1016"/>
      <c r="AU12" s="1016"/>
      <c r="AV12" s="1016"/>
      <c r="AW12" s="1016"/>
      <c r="AX12" s="1016"/>
      <c r="AY12" s="1016"/>
      <c r="AZ12" s="1016"/>
      <c r="BA12" s="1016" t="s">
        <v>1459</v>
      </c>
      <c r="BB12" s="1016"/>
      <c r="BC12" s="1016"/>
      <c r="BD12" s="1016"/>
      <c r="BE12" s="1016"/>
      <c r="BF12" s="1016"/>
      <c r="BG12" s="1016"/>
      <c r="BH12" s="1016"/>
      <c r="BI12" s="1016"/>
      <c r="BJ12" s="1016"/>
      <c r="BK12" s="1016" t="s">
        <v>1460</v>
      </c>
      <c r="BL12" s="1016"/>
      <c r="BM12" s="1016"/>
      <c r="BN12" s="1016"/>
      <c r="BO12" s="1016"/>
      <c r="BP12" s="1016"/>
      <c r="BQ12" s="1016"/>
      <c r="BR12" s="1016"/>
      <c r="BS12" s="1016"/>
      <c r="BT12" s="1016"/>
      <c r="BU12" s="1016" t="s">
        <v>1461</v>
      </c>
      <c r="BV12" s="1016"/>
      <c r="BW12" s="1016"/>
      <c r="BX12" s="1016"/>
      <c r="BY12" s="1016"/>
      <c r="BZ12" s="1016"/>
      <c r="CA12" s="1016"/>
      <c r="CB12" s="1016"/>
      <c r="CC12" s="1016"/>
      <c r="CD12" s="1016"/>
    </row>
    <row r="13" spans="1:82" s="819" customFormat="1" ht="11.1" customHeight="1" thickBot="1" x14ac:dyDescent="0.35">
      <c r="A13" s="1074" t="s">
        <v>1492</v>
      </c>
      <c r="B13" s="1074"/>
      <c r="C13" s="1074"/>
      <c r="D13" s="1074"/>
      <c r="E13" s="1074"/>
      <c r="F13" s="1074"/>
      <c r="G13" s="1074"/>
      <c r="H13" s="1074"/>
      <c r="I13" s="1074"/>
      <c r="J13" s="1074"/>
      <c r="K13" s="1074"/>
      <c r="L13" s="1074"/>
      <c r="M13" s="1074"/>
      <c r="N13" s="1074"/>
      <c r="O13" s="1074"/>
      <c r="P13" s="1074"/>
      <c r="Q13" s="1074"/>
      <c r="R13" s="1074"/>
      <c r="S13" s="1074"/>
      <c r="T13" s="1075"/>
      <c r="U13" s="1076">
        <f>SUM(U14:AD22)</f>
        <v>441752.12000000005</v>
      </c>
      <c r="V13" s="1077"/>
      <c r="W13" s="1077"/>
      <c r="X13" s="1077"/>
      <c r="Y13" s="1077"/>
      <c r="Z13" s="1077"/>
      <c r="AA13" s="1077"/>
      <c r="AB13" s="1077"/>
      <c r="AC13" s="1077"/>
      <c r="AD13" s="1078"/>
      <c r="AE13" s="1079"/>
      <c r="AF13" s="1080"/>
      <c r="AG13" s="1080"/>
      <c r="AH13" s="1080"/>
      <c r="AI13" s="1080"/>
      <c r="AJ13" s="1080"/>
      <c r="AK13" s="1080"/>
      <c r="AL13" s="1080"/>
      <c r="AM13" s="1080"/>
      <c r="AN13" s="1080"/>
      <c r="AO13" s="1081"/>
      <c r="AP13" s="1079"/>
      <c r="AQ13" s="1080"/>
      <c r="AR13" s="1080"/>
      <c r="AS13" s="1080"/>
      <c r="AT13" s="1080"/>
      <c r="AU13" s="1080"/>
      <c r="AV13" s="1080"/>
      <c r="AW13" s="1080"/>
      <c r="AX13" s="1080"/>
      <c r="AY13" s="1080"/>
      <c r="AZ13" s="1081"/>
      <c r="BA13" s="1082">
        <f>SUM(BA14:BJ22)</f>
        <v>629671.11</v>
      </c>
      <c r="BB13" s="1083"/>
      <c r="BC13" s="1083"/>
      <c r="BD13" s="1083"/>
      <c r="BE13" s="1083"/>
      <c r="BF13" s="1083"/>
      <c r="BG13" s="1083"/>
      <c r="BH13" s="1083"/>
      <c r="BI13" s="1083"/>
      <c r="BJ13" s="1084"/>
      <c r="BK13" s="1079"/>
      <c r="BL13" s="1080"/>
      <c r="BM13" s="1080"/>
      <c r="BN13" s="1080"/>
      <c r="BO13" s="1080"/>
      <c r="BP13" s="1080"/>
      <c r="BQ13" s="1080"/>
      <c r="BR13" s="1080"/>
      <c r="BS13" s="1080"/>
      <c r="BT13" s="1081"/>
      <c r="BU13" s="1069"/>
      <c r="BV13" s="1070"/>
      <c r="BW13" s="1070"/>
      <c r="BX13" s="1070"/>
      <c r="BY13" s="1070"/>
      <c r="BZ13" s="1070"/>
      <c r="CA13" s="1070"/>
      <c r="CB13" s="1070"/>
      <c r="CC13" s="1070"/>
      <c r="CD13" s="1071"/>
    </row>
    <row r="14" spans="1:82" s="815" customFormat="1" ht="11.1" customHeight="1" thickTop="1" thickBot="1" x14ac:dyDescent="0.35">
      <c r="A14" s="1028" t="s">
        <v>1493</v>
      </c>
      <c r="B14" s="1028"/>
      <c r="C14" s="1028"/>
      <c r="D14" s="1028"/>
      <c r="E14" s="1028"/>
      <c r="F14" s="1028"/>
      <c r="G14" s="1028"/>
      <c r="H14" s="1028"/>
      <c r="I14" s="1028"/>
      <c r="J14" s="1028"/>
      <c r="K14" s="1028"/>
      <c r="L14" s="1028"/>
      <c r="M14" s="1028"/>
      <c r="N14" s="1056" t="s">
        <v>1462</v>
      </c>
      <c r="O14" s="1056"/>
      <c r="P14" s="1056"/>
      <c r="Q14" s="1056"/>
      <c r="R14" s="1056"/>
      <c r="S14" s="1056"/>
      <c r="T14" s="1056"/>
      <c r="U14" s="1057">
        <v>280744.53000000003</v>
      </c>
      <c r="V14" s="1057"/>
      <c r="W14" s="1057"/>
      <c r="X14" s="1057"/>
      <c r="Y14" s="1057"/>
      <c r="Z14" s="1057"/>
      <c r="AA14" s="1057"/>
      <c r="AB14" s="1057"/>
      <c r="AC14" s="1057"/>
      <c r="AD14" s="1057"/>
      <c r="AE14" s="1054" t="s">
        <v>913</v>
      </c>
      <c r="AF14" s="1054"/>
      <c r="AG14" s="1054"/>
      <c r="AH14" s="1054"/>
      <c r="AI14" s="1054"/>
      <c r="AJ14" s="1054"/>
      <c r="AK14" s="1054"/>
      <c r="AL14" s="1054"/>
      <c r="AM14" s="1054"/>
      <c r="AN14" s="1054"/>
      <c r="AO14" s="1054"/>
      <c r="AP14" s="1054" t="s">
        <v>913</v>
      </c>
      <c r="AQ14" s="1054"/>
      <c r="AR14" s="1054"/>
      <c r="AS14" s="1054"/>
      <c r="AT14" s="1054"/>
      <c r="AU14" s="1054"/>
      <c r="AV14" s="1054"/>
      <c r="AW14" s="1054"/>
      <c r="AX14" s="1054"/>
      <c r="AY14" s="1054"/>
      <c r="AZ14" s="1054"/>
      <c r="BA14" s="1053">
        <v>284686.96999999997</v>
      </c>
      <c r="BB14" s="1053"/>
      <c r="BC14" s="1053"/>
      <c r="BD14" s="1053"/>
      <c r="BE14" s="1053"/>
      <c r="BF14" s="1053"/>
      <c r="BG14" s="1053"/>
      <c r="BH14" s="1053"/>
      <c r="BI14" s="1053"/>
      <c r="BJ14" s="1053"/>
      <c r="BK14" s="1054" t="s">
        <v>913</v>
      </c>
      <c r="BL14" s="1054"/>
      <c r="BM14" s="1054"/>
      <c r="BN14" s="1054"/>
      <c r="BO14" s="1054"/>
      <c r="BP14" s="1054"/>
      <c r="BQ14" s="1054"/>
      <c r="BR14" s="1054"/>
      <c r="BS14" s="1054"/>
      <c r="BT14" s="1054"/>
      <c r="BU14" s="1055" t="s">
        <v>913</v>
      </c>
      <c r="BV14" s="1055"/>
      <c r="BW14" s="1055"/>
      <c r="BX14" s="1055"/>
      <c r="BY14" s="1055"/>
      <c r="BZ14" s="1055"/>
      <c r="CA14" s="1055"/>
      <c r="CB14" s="1055"/>
      <c r="CC14" s="1055"/>
      <c r="CD14" s="1055"/>
    </row>
    <row r="15" spans="1:82" s="815" customFormat="1" ht="11.1" customHeight="1" thickTop="1" thickBot="1" x14ac:dyDescent="0.35">
      <c r="A15" s="1028" t="s">
        <v>1494</v>
      </c>
      <c r="B15" s="1028"/>
      <c r="C15" s="1028"/>
      <c r="D15" s="1028"/>
      <c r="E15" s="1028"/>
      <c r="F15" s="1028"/>
      <c r="G15" s="1028"/>
      <c r="H15" s="1028"/>
      <c r="I15" s="1028"/>
      <c r="J15" s="1028"/>
      <c r="K15" s="1028"/>
      <c r="L15" s="1028"/>
      <c r="M15" s="1028"/>
      <c r="N15" s="1056" t="s">
        <v>1463</v>
      </c>
      <c r="O15" s="1056"/>
      <c r="P15" s="1056"/>
      <c r="Q15" s="1056"/>
      <c r="R15" s="1056"/>
      <c r="S15" s="1056"/>
      <c r="T15" s="1056"/>
      <c r="U15" s="1057">
        <v>21982.18</v>
      </c>
      <c r="V15" s="1057"/>
      <c r="W15" s="1057"/>
      <c r="X15" s="1057"/>
      <c r="Y15" s="1057"/>
      <c r="Z15" s="1057"/>
      <c r="AA15" s="1057"/>
      <c r="AB15" s="1057"/>
      <c r="AC15" s="1057"/>
      <c r="AD15" s="1057"/>
      <c r="AE15" s="1054" t="s">
        <v>913</v>
      </c>
      <c r="AF15" s="1054"/>
      <c r="AG15" s="1054"/>
      <c r="AH15" s="1054"/>
      <c r="AI15" s="1054"/>
      <c r="AJ15" s="1054"/>
      <c r="AK15" s="1054"/>
      <c r="AL15" s="1054"/>
      <c r="AM15" s="1054"/>
      <c r="AN15" s="1054"/>
      <c r="AO15" s="1054"/>
      <c r="AP15" s="1054" t="s">
        <v>913</v>
      </c>
      <c r="AQ15" s="1054"/>
      <c r="AR15" s="1054"/>
      <c r="AS15" s="1054"/>
      <c r="AT15" s="1054"/>
      <c r="AU15" s="1054"/>
      <c r="AV15" s="1054"/>
      <c r="AW15" s="1054"/>
      <c r="AX15" s="1054"/>
      <c r="AY15" s="1054"/>
      <c r="AZ15" s="1054"/>
      <c r="BA15" s="1053">
        <v>11214.56</v>
      </c>
      <c r="BB15" s="1053"/>
      <c r="BC15" s="1053"/>
      <c r="BD15" s="1053"/>
      <c r="BE15" s="1053"/>
      <c r="BF15" s="1053"/>
      <c r="BG15" s="1053"/>
      <c r="BH15" s="1053"/>
      <c r="BI15" s="1053"/>
      <c r="BJ15" s="1053"/>
      <c r="BK15" s="1054" t="s">
        <v>913</v>
      </c>
      <c r="BL15" s="1054"/>
      <c r="BM15" s="1054"/>
      <c r="BN15" s="1054"/>
      <c r="BO15" s="1054"/>
      <c r="BP15" s="1054"/>
      <c r="BQ15" s="1054"/>
      <c r="BR15" s="1054"/>
      <c r="BS15" s="1054"/>
      <c r="BT15" s="1054"/>
      <c r="BU15" s="1055" t="s">
        <v>913</v>
      </c>
      <c r="BV15" s="1055"/>
      <c r="BW15" s="1055"/>
      <c r="BX15" s="1055"/>
      <c r="BY15" s="1055"/>
      <c r="BZ15" s="1055"/>
      <c r="CA15" s="1055"/>
      <c r="CB15" s="1055"/>
      <c r="CC15" s="1055"/>
      <c r="CD15" s="1055"/>
    </row>
    <row r="16" spans="1:82" s="815" customFormat="1" ht="11.1" customHeight="1" thickTop="1" thickBot="1" x14ac:dyDescent="0.35">
      <c r="A16" s="1028" t="s">
        <v>1495</v>
      </c>
      <c r="B16" s="1028"/>
      <c r="C16" s="1028"/>
      <c r="D16" s="1028"/>
      <c r="E16" s="1028"/>
      <c r="F16" s="1028"/>
      <c r="G16" s="1028"/>
      <c r="H16" s="1028"/>
      <c r="I16" s="1028"/>
      <c r="J16" s="1028"/>
      <c r="K16" s="1028"/>
      <c r="L16" s="1028"/>
      <c r="M16" s="1028"/>
      <c r="N16" s="1056" t="s">
        <v>1464</v>
      </c>
      <c r="O16" s="1056"/>
      <c r="P16" s="1056"/>
      <c r="Q16" s="1056"/>
      <c r="R16" s="1056"/>
      <c r="S16" s="1056"/>
      <c r="T16" s="1056"/>
      <c r="U16" s="1057">
        <v>109202.51</v>
      </c>
      <c r="V16" s="1057"/>
      <c r="W16" s="1057"/>
      <c r="X16" s="1057"/>
      <c r="Y16" s="1057"/>
      <c r="Z16" s="1057"/>
      <c r="AA16" s="1057"/>
      <c r="AB16" s="1057"/>
      <c r="AC16" s="1057"/>
      <c r="AD16" s="1057"/>
      <c r="AE16" s="1054" t="s">
        <v>913</v>
      </c>
      <c r="AF16" s="1054"/>
      <c r="AG16" s="1054"/>
      <c r="AH16" s="1054"/>
      <c r="AI16" s="1054"/>
      <c r="AJ16" s="1054"/>
      <c r="AK16" s="1054"/>
      <c r="AL16" s="1054"/>
      <c r="AM16" s="1054"/>
      <c r="AN16" s="1054"/>
      <c r="AO16" s="1054"/>
      <c r="AP16" s="1054" t="s">
        <v>913</v>
      </c>
      <c r="AQ16" s="1054"/>
      <c r="AR16" s="1054"/>
      <c r="AS16" s="1054"/>
      <c r="AT16" s="1054"/>
      <c r="AU16" s="1054"/>
      <c r="AV16" s="1054"/>
      <c r="AW16" s="1054"/>
      <c r="AX16" s="1054"/>
      <c r="AY16" s="1054"/>
      <c r="AZ16" s="1054"/>
      <c r="BA16" s="1053">
        <v>288099.93</v>
      </c>
      <c r="BB16" s="1053"/>
      <c r="BC16" s="1053"/>
      <c r="BD16" s="1053"/>
      <c r="BE16" s="1053"/>
      <c r="BF16" s="1053"/>
      <c r="BG16" s="1053"/>
      <c r="BH16" s="1053"/>
      <c r="BI16" s="1053"/>
      <c r="BJ16" s="1053"/>
      <c r="BK16" s="1054" t="s">
        <v>913</v>
      </c>
      <c r="BL16" s="1054"/>
      <c r="BM16" s="1054"/>
      <c r="BN16" s="1054"/>
      <c r="BO16" s="1054"/>
      <c r="BP16" s="1054"/>
      <c r="BQ16" s="1054"/>
      <c r="BR16" s="1054"/>
      <c r="BS16" s="1054"/>
      <c r="BT16" s="1054"/>
      <c r="BU16" s="1055" t="s">
        <v>913</v>
      </c>
      <c r="BV16" s="1055"/>
      <c r="BW16" s="1055"/>
      <c r="BX16" s="1055"/>
      <c r="BY16" s="1055"/>
      <c r="BZ16" s="1055"/>
      <c r="CA16" s="1055"/>
      <c r="CB16" s="1055"/>
      <c r="CC16" s="1055"/>
      <c r="CD16" s="1055"/>
    </row>
    <row r="17" spans="1:82" s="815" customFormat="1" ht="11.1" customHeight="1" thickTop="1" thickBot="1" x14ac:dyDescent="0.35">
      <c r="A17" s="1028" t="s">
        <v>1496</v>
      </c>
      <c r="B17" s="1028"/>
      <c r="C17" s="1028"/>
      <c r="D17" s="1028"/>
      <c r="E17" s="1028"/>
      <c r="F17" s="1028"/>
      <c r="G17" s="1028"/>
      <c r="H17" s="1028"/>
      <c r="I17" s="1028"/>
      <c r="J17" s="1028"/>
      <c r="K17" s="1028"/>
      <c r="L17" s="1028"/>
      <c r="M17" s="1028"/>
      <c r="N17" s="1056" t="s">
        <v>1465</v>
      </c>
      <c r="O17" s="1056"/>
      <c r="P17" s="1056"/>
      <c r="Q17" s="1056"/>
      <c r="R17" s="1056"/>
      <c r="S17" s="1056"/>
      <c r="T17" s="1056"/>
      <c r="U17" s="1057">
        <v>13804.42</v>
      </c>
      <c r="V17" s="1057"/>
      <c r="W17" s="1057"/>
      <c r="X17" s="1057"/>
      <c r="Y17" s="1057"/>
      <c r="Z17" s="1057"/>
      <c r="AA17" s="1057"/>
      <c r="AB17" s="1057"/>
      <c r="AC17" s="1057"/>
      <c r="AD17" s="1057"/>
      <c r="AE17" s="1054" t="s">
        <v>913</v>
      </c>
      <c r="AF17" s="1054"/>
      <c r="AG17" s="1054"/>
      <c r="AH17" s="1054"/>
      <c r="AI17" s="1054"/>
      <c r="AJ17" s="1054"/>
      <c r="AK17" s="1054"/>
      <c r="AL17" s="1054"/>
      <c r="AM17" s="1054"/>
      <c r="AN17" s="1054"/>
      <c r="AO17" s="1054"/>
      <c r="AP17" s="1054" t="s">
        <v>913</v>
      </c>
      <c r="AQ17" s="1054"/>
      <c r="AR17" s="1054"/>
      <c r="AS17" s="1054"/>
      <c r="AT17" s="1054"/>
      <c r="AU17" s="1054"/>
      <c r="AV17" s="1054"/>
      <c r="AW17" s="1054"/>
      <c r="AX17" s="1054"/>
      <c r="AY17" s="1054"/>
      <c r="AZ17" s="1054"/>
      <c r="BA17" s="1053">
        <v>14863.91</v>
      </c>
      <c r="BB17" s="1053"/>
      <c r="BC17" s="1053"/>
      <c r="BD17" s="1053"/>
      <c r="BE17" s="1053"/>
      <c r="BF17" s="1053"/>
      <c r="BG17" s="1053"/>
      <c r="BH17" s="1053"/>
      <c r="BI17" s="1053"/>
      <c r="BJ17" s="1053"/>
      <c r="BK17" s="1054" t="s">
        <v>913</v>
      </c>
      <c r="BL17" s="1054"/>
      <c r="BM17" s="1054"/>
      <c r="BN17" s="1054"/>
      <c r="BO17" s="1054"/>
      <c r="BP17" s="1054"/>
      <c r="BQ17" s="1054"/>
      <c r="BR17" s="1054"/>
      <c r="BS17" s="1054"/>
      <c r="BT17" s="1054"/>
      <c r="BU17" s="1055" t="s">
        <v>913</v>
      </c>
      <c r="BV17" s="1055"/>
      <c r="BW17" s="1055"/>
      <c r="BX17" s="1055"/>
      <c r="BY17" s="1055"/>
      <c r="BZ17" s="1055"/>
      <c r="CA17" s="1055"/>
      <c r="CB17" s="1055"/>
      <c r="CC17" s="1055"/>
      <c r="CD17" s="1055"/>
    </row>
    <row r="18" spans="1:82" s="815" customFormat="1" ht="11.1" customHeight="1" thickTop="1" thickBot="1" x14ac:dyDescent="0.35">
      <c r="A18" s="1028" t="s">
        <v>1497</v>
      </c>
      <c r="B18" s="1028"/>
      <c r="C18" s="1028"/>
      <c r="D18" s="1028"/>
      <c r="E18" s="1028"/>
      <c r="F18" s="1028"/>
      <c r="G18" s="1028"/>
      <c r="H18" s="1028"/>
      <c r="I18" s="1028"/>
      <c r="J18" s="1028"/>
      <c r="K18" s="1028"/>
      <c r="L18" s="1028"/>
      <c r="M18" s="1028"/>
      <c r="N18" s="1056" t="s">
        <v>1466</v>
      </c>
      <c r="O18" s="1056"/>
      <c r="P18" s="1056"/>
      <c r="Q18" s="1056"/>
      <c r="R18" s="1056"/>
      <c r="S18" s="1056"/>
      <c r="T18" s="1056"/>
      <c r="U18" s="1060">
        <v>695.75</v>
      </c>
      <c r="V18" s="1060"/>
      <c r="W18" s="1060"/>
      <c r="X18" s="1060"/>
      <c r="Y18" s="1060"/>
      <c r="Z18" s="1060"/>
      <c r="AA18" s="1060"/>
      <c r="AB18" s="1060"/>
      <c r="AC18" s="1060"/>
      <c r="AD18" s="1060"/>
      <c r="AE18" s="1054" t="s">
        <v>913</v>
      </c>
      <c r="AF18" s="1054"/>
      <c r="AG18" s="1054"/>
      <c r="AH18" s="1054"/>
      <c r="AI18" s="1054"/>
      <c r="AJ18" s="1054"/>
      <c r="AK18" s="1054"/>
      <c r="AL18" s="1054"/>
      <c r="AM18" s="1054"/>
      <c r="AN18" s="1054"/>
      <c r="AO18" s="1054"/>
      <c r="AP18" s="1054" t="s">
        <v>913</v>
      </c>
      <c r="AQ18" s="1054"/>
      <c r="AR18" s="1054"/>
      <c r="AS18" s="1054"/>
      <c r="AT18" s="1054"/>
      <c r="AU18" s="1054"/>
      <c r="AV18" s="1054"/>
      <c r="AW18" s="1054"/>
      <c r="AX18" s="1054"/>
      <c r="AY18" s="1054"/>
      <c r="AZ18" s="1054"/>
      <c r="BA18" s="1053">
        <v>14026.2</v>
      </c>
      <c r="BB18" s="1053"/>
      <c r="BC18" s="1053"/>
      <c r="BD18" s="1053"/>
      <c r="BE18" s="1053"/>
      <c r="BF18" s="1053"/>
      <c r="BG18" s="1053"/>
      <c r="BH18" s="1053"/>
      <c r="BI18" s="1053"/>
      <c r="BJ18" s="1053"/>
      <c r="BK18" s="1054" t="s">
        <v>913</v>
      </c>
      <c r="BL18" s="1054"/>
      <c r="BM18" s="1054"/>
      <c r="BN18" s="1054"/>
      <c r="BO18" s="1054"/>
      <c r="BP18" s="1054"/>
      <c r="BQ18" s="1054"/>
      <c r="BR18" s="1054"/>
      <c r="BS18" s="1054"/>
      <c r="BT18" s="1054"/>
      <c r="BU18" s="1055" t="s">
        <v>913</v>
      </c>
      <c r="BV18" s="1055"/>
      <c r="BW18" s="1055"/>
      <c r="BX18" s="1055"/>
      <c r="BY18" s="1055"/>
      <c r="BZ18" s="1055"/>
      <c r="CA18" s="1055"/>
      <c r="CB18" s="1055"/>
      <c r="CC18" s="1055"/>
      <c r="CD18" s="1055"/>
    </row>
    <row r="19" spans="1:82" s="815" customFormat="1" ht="11.1" customHeight="1" thickTop="1" thickBot="1" x14ac:dyDescent="0.35">
      <c r="A19" s="1028" t="s">
        <v>1498</v>
      </c>
      <c r="B19" s="1028"/>
      <c r="C19" s="1028"/>
      <c r="D19" s="1028"/>
      <c r="E19" s="1028"/>
      <c r="F19" s="1028"/>
      <c r="G19" s="1028"/>
      <c r="H19" s="1028"/>
      <c r="I19" s="1028"/>
      <c r="J19" s="1028"/>
      <c r="K19" s="1028"/>
      <c r="L19" s="1028"/>
      <c r="M19" s="1028"/>
      <c r="N19" s="1056" t="s">
        <v>1467</v>
      </c>
      <c r="O19" s="1056"/>
      <c r="P19" s="1056"/>
      <c r="Q19" s="1056"/>
      <c r="R19" s="1056"/>
      <c r="S19" s="1056"/>
      <c r="T19" s="1056"/>
      <c r="U19" s="1057">
        <v>7353.81</v>
      </c>
      <c r="V19" s="1057"/>
      <c r="W19" s="1057"/>
      <c r="X19" s="1057"/>
      <c r="Y19" s="1057"/>
      <c r="Z19" s="1057"/>
      <c r="AA19" s="1057"/>
      <c r="AB19" s="1057"/>
      <c r="AC19" s="1057"/>
      <c r="AD19" s="1057"/>
      <c r="AE19" s="1054" t="s">
        <v>913</v>
      </c>
      <c r="AF19" s="1054"/>
      <c r="AG19" s="1054"/>
      <c r="AH19" s="1054"/>
      <c r="AI19" s="1054"/>
      <c r="AJ19" s="1054"/>
      <c r="AK19" s="1054"/>
      <c r="AL19" s="1054"/>
      <c r="AM19" s="1054"/>
      <c r="AN19" s="1054"/>
      <c r="AO19" s="1054"/>
      <c r="AP19" s="1054" t="s">
        <v>913</v>
      </c>
      <c r="AQ19" s="1054"/>
      <c r="AR19" s="1054"/>
      <c r="AS19" s="1054"/>
      <c r="AT19" s="1054"/>
      <c r="AU19" s="1054"/>
      <c r="AV19" s="1054"/>
      <c r="AW19" s="1054"/>
      <c r="AX19" s="1054"/>
      <c r="AY19" s="1054"/>
      <c r="AZ19" s="1054"/>
      <c r="BA19" s="1053">
        <v>16107.87</v>
      </c>
      <c r="BB19" s="1053"/>
      <c r="BC19" s="1053"/>
      <c r="BD19" s="1053"/>
      <c r="BE19" s="1053"/>
      <c r="BF19" s="1053"/>
      <c r="BG19" s="1053"/>
      <c r="BH19" s="1053"/>
      <c r="BI19" s="1053"/>
      <c r="BJ19" s="1053"/>
      <c r="BK19" s="1054" t="s">
        <v>913</v>
      </c>
      <c r="BL19" s="1054"/>
      <c r="BM19" s="1054"/>
      <c r="BN19" s="1054"/>
      <c r="BO19" s="1054"/>
      <c r="BP19" s="1054"/>
      <c r="BQ19" s="1054"/>
      <c r="BR19" s="1054"/>
      <c r="BS19" s="1054"/>
      <c r="BT19" s="1054"/>
      <c r="BU19" s="1055" t="s">
        <v>913</v>
      </c>
      <c r="BV19" s="1055"/>
      <c r="BW19" s="1055"/>
      <c r="BX19" s="1055"/>
      <c r="BY19" s="1055"/>
      <c r="BZ19" s="1055"/>
      <c r="CA19" s="1055"/>
      <c r="CB19" s="1055"/>
      <c r="CC19" s="1055"/>
      <c r="CD19" s="1055"/>
    </row>
    <row r="20" spans="1:82" s="815" customFormat="1" ht="11.1" customHeight="1" thickTop="1" thickBot="1" x14ac:dyDescent="0.35">
      <c r="A20" s="1028" t="s">
        <v>1503</v>
      </c>
      <c r="B20" s="1028"/>
      <c r="C20" s="1028"/>
      <c r="D20" s="1028"/>
      <c r="E20" s="1028"/>
      <c r="F20" s="1028"/>
      <c r="G20" s="1028"/>
      <c r="H20" s="1028"/>
      <c r="I20" s="1028"/>
      <c r="J20" s="1028"/>
      <c r="K20" s="1028"/>
      <c r="L20" s="1028"/>
      <c r="M20" s="1028"/>
      <c r="N20" s="1056" t="s">
        <v>1472</v>
      </c>
      <c r="O20" s="1056"/>
      <c r="P20" s="1056"/>
      <c r="Q20" s="1056"/>
      <c r="R20" s="1056"/>
      <c r="S20" s="1056"/>
      <c r="T20" s="1056"/>
      <c r="U20" s="1060">
        <v>522.89</v>
      </c>
      <c r="V20" s="1060"/>
      <c r="W20" s="1060"/>
      <c r="X20" s="1060"/>
      <c r="Y20" s="1060"/>
      <c r="Z20" s="1060"/>
      <c r="AA20" s="1060"/>
      <c r="AB20" s="1060"/>
      <c r="AC20" s="1060"/>
      <c r="AD20" s="1060"/>
      <c r="AE20" s="1054" t="s">
        <v>913</v>
      </c>
      <c r="AF20" s="1054"/>
      <c r="AG20" s="1054"/>
      <c r="AH20" s="1054"/>
      <c r="AI20" s="1054"/>
      <c r="AJ20" s="1054"/>
      <c r="AK20" s="1054"/>
      <c r="AL20" s="1054"/>
      <c r="AM20" s="1054"/>
      <c r="AN20" s="1054"/>
      <c r="AO20" s="1054"/>
      <c r="AP20" s="1054" t="s">
        <v>913</v>
      </c>
      <c r="AQ20" s="1054"/>
      <c r="AR20" s="1054"/>
      <c r="AS20" s="1054"/>
      <c r="AT20" s="1054"/>
      <c r="AU20" s="1054"/>
      <c r="AV20" s="1054"/>
      <c r="AW20" s="1054"/>
      <c r="AX20" s="1054"/>
      <c r="AY20" s="1054"/>
      <c r="AZ20" s="1054"/>
      <c r="BA20" s="1061">
        <v>523.16</v>
      </c>
      <c r="BB20" s="1061"/>
      <c r="BC20" s="1061"/>
      <c r="BD20" s="1061"/>
      <c r="BE20" s="1061"/>
      <c r="BF20" s="1061"/>
      <c r="BG20" s="1061"/>
      <c r="BH20" s="1061"/>
      <c r="BI20" s="1061"/>
      <c r="BJ20" s="1061"/>
      <c r="BK20" s="1054" t="s">
        <v>913</v>
      </c>
      <c r="BL20" s="1054"/>
      <c r="BM20" s="1054"/>
      <c r="BN20" s="1054"/>
      <c r="BO20" s="1054"/>
      <c r="BP20" s="1054"/>
      <c r="BQ20" s="1054"/>
      <c r="BR20" s="1054"/>
      <c r="BS20" s="1054"/>
      <c r="BT20" s="1054"/>
      <c r="BU20" s="1055" t="s">
        <v>913</v>
      </c>
      <c r="BV20" s="1055"/>
      <c r="BW20" s="1055"/>
      <c r="BX20" s="1055"/>
      <c r="BY20" s="1055"/>
      <c r="BZ20" s="1055"/>
      <c r="CA20" s="1055"/>
      <c r="CB20" s="1055"/>
      <c r="CC20" s="1055"/>
      <c r="CD20" s="1055"/>
    </row>
    <row r="21" spans="1:82" s="815" customFormat="1" ht="11.1" customHeight="1" thickTop="1" thickBot="1" x14ac:dyDescent="0.35">
      <c r="A21" s="1028" t="s">
        <v>1521</v>
      </c>
      <c r="B21" s="1028"/>
      <c r="C21" s="1028"/>
      <c r="D21" s="1028"/>
      <c r="E21" s="1028"/>
      <c r="F21" s="1028"/>
      <c r="G21" s="1028"/>
      <c r="H21" s="1028"/>
      <c r="I21" s="1028"/>
      <c r="J21" s="1028"/>
      <c r="K21" s="1028"/>
      <c r="L21" s="1028"/>
      <c r="M21" s="1028"/>
      <c r="N21" s="1056" t="s">
        <v>1490</v>
      </c>
      <c r="O21" s="1056"/>
      <c r="P21" s="1056"/>
      <c r="Q21" s="1056"/>
      <c r="R21" s="1056"/>
      <c r="S21" s="1056"/>
      <c r="T21" s="1056"/>
      <c r="U21" s="1057">
        <v>3352.32</v>
      </c>
      <c r="V21" s="1057"/>
      <c r="W21" s="1057"/>
      <c r="X21" s="1057"/>
      <c r="Y21" s="1057"/>
      <c r="Z21" s="1057"/>
      <c r="AA21" s="1057"/>
      <c r="AB21" s="1057"/>
      <c r="AC21" s="1057"/>
      <c r="AD21" s="1057"/>
      <c r="AE21" s="1054" t="s">
        <v>913</v>
      </c>
      <c r="AF21" s="1054"/>
      <c r="AG21" s="1054"/>
      <c r="AH21" s="1054"/>
      <c r="AI21" s="1054"/>
      <c r="AJ21" s="1054"/>
      <c r="AK21" s="1054"/>
      <c r="AL21" s="1054"/>
      <c r="AM21" s="1054"/>
      <c r="AN21" s="1054"/>
      <c r="AO21" s="1054"/>
      <c r="AP21" s="1054" t="s">
        <v>913</v>
      </c>
      <c r="AQ21" s="1054"/>
      <c r="AR21" s="1054"/>
      <c r="AS21" s="1054"/>
      <c r="AT21" s="1054"/>
      <c r="AU21" s="1054"/>
      <c r="AV21" s="1054"/>
      <c r="AW21" s="1054"/>
      <c r="AX21" s="1054"/>
      <c r="AY21" s="1054"/>
      <c r="AZ21" s="1054"/>
      <c r="BA21" s="1054" t="s">
        <v>913</v>
      </c>
      <c r="BB21" s="1054"/>
      <c r="BC21" s="1054"/>
      <c r="BD21" s="1054"/>
      <c r="BE21" s="1054"/>
      <c r="BF21" s="1054"/>
      <c r="BG21" s="1054"/>
      <c r="BH21" s="1054"/>
      <c r="BI21" s="1054"/>
      <c r="BJ21" s="1054"/>
      <c r="BK21" s="1054" t="s">
        <v>913</v>
      </c>
      <c r="BL21" s="1054"/>
      <c r="BM21" s="1054"/>
      <c r="BN21" s="1054"/>
      <c r="BO21" s="1054"/>
      <c r="BP21" s="1054"/>
      <c r="BQ21" s="1054"/>
      <c r="BR21" s="1054"/>
      <c r="BS21" s="1054"/>
      <c r="BT21" s="1054"/>
      <c r="BU21" s="1055" t="s">
        <v>913</v>
      </c>
      <c r="BV21" s="1055"/>
      <c r="BW21" s="1055"/>
      <c r="BX21" s="1055"/>
      <c r="BY21" s="1055"/>
      <c r="BZ21" s="1055"/>
      <c r="CA21" s="1055"/>
      <c r="CB21" s="1055"/>
      <c r="CC21" s="1055"/>
      <c r="CD21" s="1055"/>
    </row>
    <row r="22" spans="1:82" s="815" customFormat="1" ht="11.1" customHeight="1" thickTop="1" thickBot="1" x14ac:dyDescent="0.35">
      <c r="A22" s="1028" t="s">
        <v>1504</v>
      </c>
      <c r="B22" s="1028"/>
      <c r="C22" s="1028"/>
      <c r="D22" s="1028"/>
      <c r="E22" s="1028"/>
      <c r="F22" s="1028"/>
      <c r="G22" s="1028"/>
      <c r="H22" s="1028"/>
      <c r="I22" s="1028"/>
      <c r="J22" s="1028"/>
      <c r="K22" s="1028"/>
      <c r="L22" s="1028"/>
      <c r="M22" s="1028"/>
      <c r="N22" s="1056" t="s">
        <v>1473</v>
      </c>
      <c r="O22" s="1056"/>
      <c r="P22" s="1056"/>
      <c r="Q22" s="1056"/>
      <c r="R22" s="1056"/>
      <c r="S22" s="1056"/>
      <c r="T22" s="1056"/>
      <c r="U22" s="1057">
        <v>4093.71</v>
      </c>
      <c r="V22" s="1057"/>
      <c r="W22" s="1057"/>
      <c r="X22" s="1057"/>
      <c r="Y22" s="1057"/>
      <c r="Z22" s="1057"/>
      <c r="AA22" s="1057"/>
      <c r="AB22" s="1057"/>
      <c r="AC22" s="1057"/>
      <c r="AD22" s="1057"/>
      <c r="AE22" s="1054" t="s">
        <v>913</v>
      </c>
      <c r="AF22" s="1054"/>
      <c r="AG22" s="1054"/>
      <c r="AH22" s="1054"/>
      <c r="AI22" s="1054"/>
      <c r="AJ22" s="1054"/>
      <c r="AK22" s="1054"/>
      <c r="AL22" s="1054"/>
      <c r="AM22" s="1054"/>
      <c r="AN22" s="1054"/>
      <c r="AO22" s="1054"/>
      <c r="AP22" s="1054" t="s">
        <v>913</v>
      </c>
      <c r="AQ22" s="1054"/>
      <c r="AR22" s="1054"/>
      <c r="AS22" s="1054"/>
      <c r="AT22" s="1054"/>
      <c r="AU22" s="1054"/>
      <c r="AV22" s="1054"/>
      <c r="AW22" s="1054"/>
      <c r="AX22" s="1054"/>
      <c r="AY22" s="1054"/>
      <c r="AZ22" s="1054"/>
      <c r="BA22" s="1061">
        <v>148.51</v>
      </c>
      <c r="BB22" s="1061"/>
      <c r="BC22" s="1061"/>
      <c r="BD22" s="1061"/>
      <c r="BE22" s="1061"/>
      <c r="BF22" s="1061"/>
      <c r="BG22" s="1061"/>
      <c r="BH22" s="1061"/>
      <c r="BI22" s="1061"/>
      <c r="BJ22" s="1061"/>
      <c r="BK22" s="1054" t="s">
        <v>913</v>
      </c>
      <c r="BL22" s="1054"/>
      <c r="BM22" s="1054"/>
      <c r="BN22" s="1054"/>
      <c r="BO22" s="1054"/>
      <c r="BP22" s="1054"/>
      <c r="BQ22" s="1054"/>
      <c r="BR22" s="1054"/>
      <c r="BS22" s="1054"/>
      <c r="BT22" s="1054"/>
      <c r="BU22" s="1055" t="s">
        <v>913</v>
      </c>
      <c r="BV22" s="1055"/>
      <c r="BW22" s="1055"/>
      <c r="BX22" s="1055"/>
      <c r="BY22" s="1055"/>
      <c r="BZ22" s="1055"/>
      <c r="CA22" s="1055"/>
      <c r="CB22" s="1055"/>
      <c r="CC22" s="1055"/>
      <c r="CD22" s="1055"/>
    </row>
    <row r="23" spans="1:82" s="819" customFormat="1" ht="11.1" customHeight="1" thickTop="1" thickBot="1" x14ac:dyDescent="0.35">
      <c r="A23" s="1058" t="s">
        <v>1505</v>
      </c>
      <c r="B23" s="1058"/>
      <c r="C23" s="1058"/>
      <c r="D23" s="1058"/>
      <c r="E23" s="1058"/>
      <c r="F23" s="1058"/>
      <c r="G23" s="1058"/>
      <c r="H23" s="1058"/>
      <c r="I23" s="1058"/>
      <c r="J23" s="1058"/>
      <c r="K23" s="1058"/>
      <c r="L23" s="1058"/>
      <c r="M23" s="1058"/>
      <c r="N23" s="1058"/>
      <c r="O23" s="1058"/>
      <c r="P23" s="1058"/>
      <c r="Q23" s="1058"/>
      <c r="R23" s="1058"/>
      <c r="S23" s="1058"/>
      <c r="T23" s="1058"/>
      <c r="U23" s="1048">
        <f>SUM(U24:AD25)</f>
        <v>14354690.130000001</v>
      </c>
      <c r="V23" s="1059"/>
      <c r="W23" s="1059"/>
      <c r="X23" s="1059"/>
      <c r="Y23" s="1059"/>
      <c r="Z23" s="1059"/>
      <c r="AA23" s="1059"/>
      <c r="AB23" s="1059"/>
      <c r="AC23" s="1059"/>
      <c r="AD23" s="1059"/>
      <c r="AE23" s="1050" t="s">
        <v>913</v>
      </c>
      <c r="AF23" s="1050"/>
      <c r="AG23" s="1050"/>
      <c r="AH23" s="1050"/>
      <c r="AI23" s="1050"/>
      <c r="AJ23" s="1050"/>
      <c r="AK23" s="1050"/>
      <c r="AL23" s="1050"/>
      <c r="AM23" s="1050"/>
      <c r="AN23" s="1050"/>
      <c r="AO23" s="1050"/>
      <c r="AP23" s="1050" t="s">
        <v>913</v>
      </c>
      <c r="AQ23" s="1050"/>
      <c r="AR23" s="1050"/>
      <c r="AS23" s="1050"/>
      <c r="AT23" s="1050"/>
      <c r="AU23" s="1050"/>
      <c r="AV23" s="1050"/>
      <c r="AW23" s="1050"/>
      <c r="AX23" s="1050"/>
      <c r="AY23" s="1050"/>
      <c r="AZ23" s="1050"/>
      <c r="BA23" s="1049">
        <f>SUM(BA24:BJ25)</f>
        <v>45311222.93</v>
      </c>
      <c r="BB23" s="1050"/>
      <c r="BC23" s="1050"/>
      <c r="BD23" s="1050"/>
      <c r="BE23" s="1050"/>
      <c r="BF23" s="1050"/>
      <c r="BG23" s="1050"/>
      <c r="BH23" s="1050"/>
      <c r="BI23" s="1050"/>
      <c r="BJ23" s="1050"/>
      <c r="BK23" s="1050" t="s">
        <v>913</v>
      </c>
      <c r="BL23" s="1050"/>
      <c r="BM23" s="1050"/>
      <c r="BN23" s="1050"/>
      <c r="BO23" s="1050"/>
      <c r="BP23" s="1050"/>
      <c r="BQ23" s="1050"/>
      <c r="BR23" s="1050"/>
      <c r="BS23" s="1050"/>
      <c r="BT23" s="1050"/>
      <c r="BU23" s="1063" t="s">
        <v>913</v>
      </c>
      <c r="BV23" s="1063"/>
      <c r="BW23" s="1063"/>
      <c r="BX23" s="1063"/>
      <c r="BY23" s="1063"/>
      <c r="BZ23" s="1063"/>
      <c r="CA23" s="1063"/>
      <c r="CB23" s="1063"/>
      <c r="CC23" s="1063"/>
      <c r="CD23" s="1063"/>
    </row>
    <row r="24" spans="1:82" s="815" customFormat="1" ht="11.1" customHeight="1" thickTop="1" thickBot="1" x14ac:dyDescent="0.35">
      <c r="A24" s="1062" t="s">
        <v>1522</v>
      </c>
      <c r="B24" s="1062"/>
      <c r="C24" s="1062"/>
      <c r="D24" s="1062"/>
      <c r="E24" s="1062"/>
      <c r="F24" s="1062"/>
      <c r="G24" s="1062"/>
      <c r="H24" s="1062"/>
      <c r="I24" s="1062"/>
      <c r="J24" s="1062"/>
      <c r="K24" s="1062"/>
      <c r="L24" s="1062"/>
      <c r="M24" s="1062"/>
      <c r="N24" s="1056" t="s">
        <v>1491</v>
      </c>
      <c r="O24" s="1056"/>
      <c r="P24" s="1056"/>
      <c r="Q24" s="1056"/>
      <c r="R24" s="1056"/>
      <c r="S24" s="1056"/>
      <c r="T24" s="1056"/>
      <c r="U24" s="1057">
        <v>692665.23</v>
      </c>
      <c r="V24" s="1057"/>
      <c r="W24" s="1057"/>
      <c r="X24" s="1057"/>
      <c r="Y24" s="1057"/>
      <c r="Z24" s="1057"/>
      <c r="AA24" s="1057"/>
      <c r="AB24" s="1057"/>
      <c r="AC24" s="1057"/>
      <c r="AD24" s="1057"/>
      <c r="AE24" s="1054" t="s">
        <v>913</v>
      </c>
      <c r="AF24" s="1054"/>
      <c r="AG24" s="1054"/>
      <c r="AH24" s="1054"/>
      <c r="AI24" s="1054"/>
      <c r="AJ24" s="1054"/>
      <c r="AK24" s="1054"/>
      <c r="AL24" s="1054"/>
      <c r="AM24" s="1054"/>
      <c r="AN24" s="1054"/>
      <c r="AO24" s="1054"/>
      <c r="AP24" s="1054" t="s">
        <v>913</v>
      </c>
      <c r="AQ24" s="1054"/>
      <c r="AR24" s="1054"/>
      <c r="AS24" s="1054"/>
      <c r="AT24" s="1054"/>
      <c r="AU24" s="1054"/>
      <c r="AV24" s="1054"/>
      <c r="AW24" s="1054"/>
      <c r="AX24" s="1054"/>
      <c r="AY24" s="1054"/>
      <c r="AZ24" s="1054"/>
      <c r="BA24" s="1053">
        <v>91913.93</v>
      </c>
      <c r="BB24" s="1053"/>
      <c r="BC24" s="1053"/>
      <c r="BD24" s="1053"/>
      <c r="BE24" s="1053"/>
      <c r="BF24" s="1053"/>
      <c r="BG24" s="1053"/>
      <c r="BH24" s="1053"/>
      <c r="BI24" s="1053"/>
      <c r="BJ24" s="1053"/>
      <c r="BK24" s="1054" t="s">
        <v>913</v>
      </c>
      <c r="BL24" s="1054"/>
      <c r="BM24" s="1054"/>
      <c r="BN24" s="1054"/>
      <c r="BO24" s="1054"/>
      <c r="BP24" s="1054"/>
      <c r="BQ24" s="1054"/>
      <c r="BR24" s="1054"/>
      <c r="BS24" s="1054"/>
      <c r="BT24" s="1054"/>
      <c r="BU24" s="1055" t="s">
        <v>913</v>
      </c>
      <c r="BV24" s="1055"/>
      <c r="BW24" s="1055"/>
      <c r="BX24" s="1055"/>
      <c r="BY24" s="1055"/>
      <c r="BZ24" s="1055"/>
      <c r="CA24" s="1055"/>
      <c r="CB24" s="1055"/>
      <c r="CC24" s="1055"/>
      <c r="CD24" s="1055"/>
    </row>
    <row r="25" spans="1:82" s="815" customFormat="1" ht="11.1" customHeight="1" thickTop="1" thickBot="1" x14ac:dyDescent="0.35">
      <c r="A25" s="1062" t="s">
        <v>1515</v>
      </c>
      <c r="B25" s="1062"/>
      <c r="C25" s="1062"/>
      <c r="D25" s="1062"/>
      <c r="E25" s="1062"/>
      <c r="F25" s="1062"/>
      <c r="G25" s="1062"/>
      <c r="H25" s="1062"/>
      <c r="I25" s="1062"/>
      <c r="J25" s="1062"/>
      <c r="K25" s="1062"/>
      <c r="L25" s="1062"/>
      <c r="M25" s="1062"/>
      <c r="N25" s="1056" t="s">
        <v>1487</v>
      </c>
      <c r="O25" s="1056"/>
      <c r="P25" s="1056"/>
      <c r="Q25" s="1056"/>
      <c r="R25" s="1056"/>
      <c r="S25" s="1056"/>
      <c r="T25" s="1056"/>
      <c r="U25" s="1057">
        <v>13662024.9</v>
      </c>
      <c r="V25" s="1057"/>
      <c r="W25" s="1057"/>
      <c r="X25" s="1057"/>
      <c r="Y25" s="1057"/>
      <c r="Z25" s="1057"/>
      <c r="AA25" s="1057"/>
      <c r="AB25" s="1057"/>
      <c r="AC25" s="1057"/>
      <c r="AD25" s="1057"/>
      <c r="AE25" s="1054" t="s">
        <v>913</v>
      </c>
      <c r="AF25" s="1054"/>
      <c r="AG25" s="1054"/>
      <c r="AH25" s="1054"/>
      <c r="AI25" s="1054"/>
      <c r="AJ25" s="1054"/>
      <c r="AK25" s="1054"/>
      <c r="AL25" s="1054"/>
      <c r="AM25" s="1054"/>
      <c r="AN25" s="1054"/>
      <c r="AO25" s="1054"/>
      <c r="AP25" s="1054" t="s">
        <v>913</v>
      </c>
      <c r="AQ25" s="1054"/>
      <c r="AR25" s="1054"/>
      <c r="AS25" s="1054"/>
      <c r="AT25" s="1054"/>
      <c r="AU25" s="1054"/>
      <c r="AV25" s="1054"/>
      <c r="AW25" s="1054"/>
      <c r="AX25" s="1054"/>
      <c r="AY25" s="1054"/>
      <c r="AZ25" s="1054"/>
      <c r="BA25" s="1053">
        <v>45219309</v>
      </c>
      <c r="BB25" s="1053"/>
      <c r="BC25" s="1053"/>
      <c r="BD25" s="1053"/>
      <c r="BE25" s="1053"/>
      <c r="BF25" s="1053"/>
      <c r="BG25" s="1053"/>
      <c r="BH25" s="1053"/>
      <c r="BI25" s="1053"/>
      <c r="BJ25" s="1053"/>
      <c r="BK25" s="1054" t="s">
        <v>913</v>
      </c>
      <c r="BL25" s="1054"/>
      <c r="BM25" s="1054"/>
      <c r="BN25" s="1054"/>
      <c r="BO25" s="1054"/>
      <c r="BP25" s="1054"/>
      <c r="BQ25" s="1054"/>
      <c r="BR25" s="1054"/>
      <c r="BS25" s="1054"/>
      <c r="BT25" s="1054"/>
      <c r="BU25" s="1055" t="s">
        <v>913</v>
      </c>
      <c r="BV25" s="1055"/>
      <c r="BW25" s="1055"/>
      <c r="BX25" s="1055"/>
      <c r="BY25" s="1055"/>
      <c r="BZ25" s="1055"/>
      <c r="CA25" s="1055"/>
      <c r="CB25" s="1055"/>
      <c r="CC25" s="1055"/>
      <c r="CD25" s="1055"/>
    </row>
    <row r="26" spans="1:82" s="818" customFormat="1" ht="11.1" customHeight="1" thickTop="1" thickBot="1" x14ac:dyDescent="0.25">
      <c r="A26" s="1067" t="s">
        <v>1489</v>
      </c>
      <c r="B26" s="1067"/>
      <c r="C26" s="1067"/>
      <c r="D26" s="1067"/>
      <c r="E26" s="1067"/>
      <c r="F26" s="1067"/>
      <c r="G26" s="1067"/>
      <c r="H26" s="1067"/>
      <c r="I26" s="1067"/>
      <c r="J26" s="1067"/>
      <c r="K26" s="1067"/>
      <c r="L26" s="1067"/>
      <c r="M26" s="1067"/>
      <c r="N26" s="1067"/>
      <c r="O26" s="1067"/>
      <c r="P26" s="1067"/>
      <c r="Q26" s="1067"/>
      <c r="R26" s="1067"/>
      <c r="S26" s="1067"/>
      <c r="T26" s="1067"/>
      <c r="U26" s="1068">
        <v>14796442.25</v>
      </c>
      <c r="V26" s="1068"/>
      <c r="W26" s="1068"/>
      <c r="X26" s="1068"/>
      <c r="Y26" s="1068"/>
      <c r="Z26" s="1068"/>
      <c r="AA26" s="1068"/>
      <c r="AB26" s="1068"/>
      <c r="AC26" s="1068"/>
      <c r="AD26" s="1068"/>
      <c r="AE26" s="1065" t="s">
        <v>913</v>
      </c>
      <c r="AF26" s="1065"/>
      <c r="AG26" s="1065"/>
      <c r="AH26" s="1065"/>
      <c r="AI26" s="1065"/>
      <c r="AJ26" s="1065"/>
      <c r="AK26" s="1065"/>
      <c r="AL26" s="1065"/>
      <c r="AM26" s="1065"/>
      <c r="AN26" s="1065"/>
      <c r="AO26" s="1065"/>
      <c r="AP26" s="1065" t="s">
        <v>913</v>
      </c>
      <c r="AQ26" s="1065"/>
      <c r="AR26" s="1065"/>
      <c r="AS26" s="1065"/>
      <c r="AT26" s="1065"/>
      <c r="AU26" s="1065"/>
      <c r="AV26" s="1065"/>
      <c r="AW26" s="1065"/>
      <c r="AX26" s="1065"/>
      <c r="AY26" s="1065"/>
      <c r="AZ26" s="1065"/>
      <c r="BA26" s="1064">
        <v>45940894.039999999</v>
      </c>
      <c r="BB26" s="1064"/>
      <c r="BC26" s="1064"/>
      <c r="BD26" s="1064"/>
      <c r="BE26" s="1064"/>
      <c r="BF26" s="1064"/>
      <c r="BG26" s="1064"/>
      <c r="BH26" s="1064"/>
      <c r="BI26" s="1064"/>
      <c r="BJ26" s="1064"/>
      <c r="BK26" s="1065" t="s">
        <v>913</v>
      </c>
      <c r="BL26" s="1065"/>
      <c r="BM26" s="1065"/>
      <c r="BN26" s="1065"/>
      <c r="BO26" s="1065"/>
      <c r="BP26" s="1065"/>
      <c r="BQ26" s="1065"/>
      <c r="BR26" s="1065"/>
      <c r="BS26" s="1065"/>
      <c r="BT26" s="1065"/>
      <c r="BU26" s="1066" t="s">
        <v>913</v>
      </c>
      <c r="BV26" s="1066"/>
      <c r="BW26" s="1066"/>
      <c r="BX26" s="1066"/>
      <c r="BY26" s="1066"/>
      <c r="BZ26" s="1066"/>
      <c r="CA26" s="1066"/>
      <c r="CB26" s="1066"/>
      <c r="CC26" s="1066"/>
      <c r="CD26" s="1066"/>
    </row>
  </sheetData>
  <mergeCells count="135">
    <mergeCell ref="BU13:CD13"/>
    <mergeCell ref="A5:F5"/>
    <mergeCell ref="G5:AR5"/>
    <mergeCell ref="J1:CD1"/>
    <mergeCell ref="J2:CD2"/>
    <mergeCell ref="A13:T13"/>
    <mergeCell ref="U13:AD13"/>
    <mergeCell ref="AE13:AO13"/>
    <mergeCell ref="AP13:AZ13"/>
    <mergeCell ref="BA13:BJ13"/>
    <mergeCell ref="BK13:BT13"/>
    <mergeCell ref="BA12:BJ12"/>
    <mergeCell ref="BK12:BT12"/>
    <mergeCell ref="BU12:CD12"/>
    <mergeCell ref="BU11:CD11"/>
    <mergeCell ref="A12:T12"/>
    <mergeCell ref="U12:AD12"/>
    <mergeCell ref="AE12:AO12"/>
    <mergeCell ref="AP12:AZ12"/>
    <mergeCell ref="AP11:AZ11"/>
    <mergeCell ref="BK11:BT11"/>
    <mergeCell ref="U10:AD11"/>
    <mergeCell ref="AE10:AZ10"/>
    <mergeCell ref="BA10:BJ11"/>
    <mergeCell ref="BA26:BJ26"/>
    <mergeCell ref="BK26:BT26"/>
    <mergeCell ref="BU26:CD26"/>
    <mergeCell ref="A26:T26"/>
    <mergeCell ref="U26:AD26"/>
    <mergeCell ref="AE26:AO26"/>
    <mergeCell ref="AP26:AZ26"/>
    <mergeCell ref="BA25:BJ25"/>
    <mergeCell ref="BK25:BT25"/>
    <mergeCell ref="BU25:CD25"/>
    <mergeCell ref="A25:M25"/>
    <mergeCell ref="N25:T25"/>
    <mergeCell ref="U25:AD25"/>
    <mergeCell ref="AE25:AO25"/>
    <mergeCell ref="AP25:AZ25"/>
    <mergeCell ref="BA24:BJ24"/>
    <mergeCell ref="BK24:BT24"/>
    <mergeCell ref="BU24:CD24"/>
    <mergeCell ref="A24:M24"/>
    <mergeCell ref="N24:T24"/>
    <mergeCell ref="U24:AD24"/>
    <mergeCell ref="AE24:AO24"/>
    <mergeCell ref="AP24:AZ24"/>
    <mergeCell ref="BA23:BJ23"/>
    <mergeCell ref="BK23:BT23"/>
    <mergeCell ref="BU23:CD23"/>
    <mergeCell ref="BU22:CD22"/>
    <mergeCell ref="BA22:BJ22"/>
    <mergeCell ref="BK22:BT22"/>
    <mergeCell ref="A22:M22"/>
    <mergeCell ref="N22:T22"/>
    <mergeCell ref="U22:AD22"/>
    <mergeCell ref="AE22:AO22"/>
    <mergeCell ref="AP22:AZ22"/>
    <mergeCell ref="BA21:BJ21"/>
    <mergeCell ref="BK21:BT21"/>
    <mergeCell ref="BU21:CD21"/>
    <mergeCell ref="A21:M21"/>
    <mergeCell ref="N21:T21"/>
    <mergeCell ref="U21:AD21"/>
    <mergeCell ref="AE21:AO21"/>
    <mergeCell ref="AP21:AZ21"/>
    <mergeCell ref="N17:T17"/>
    <mergeCell ref="U17:AD17"/>
    <mergeCell ref="AE17:AO17"/>
    <mergeCell ref="AP17:AZ17"/>
    <mergeCell ref="BU20:CD20"/>
    <mergeCell ref="BA20:BJ20"/>
    <mergeCell ref="BK20:BT20"/>
    <mergeCell ref="A20:M20"/>
    <mergeCell ref="N20:T20"/>
    <mergeCell ref="U20:AD20"/>
    <mergeCell ref="AE20:AO20"/>
    <mergeCell ref="AP20:AZ20"/>
    <mergeCell ref="BA19:BJ19"/>
    <mergeCell ref="BK19:BT19"/>
    <mergeCell ref="BU19:CD19"/>
    <mergeCell ref="A19:M19"/>
    <mergeCell ref="N19:T19"/>
    <mergeCell ref="U19:AD19"/>
    <mergeCell ref="AE19:AO19"/>
    <mergeCell ref="AP19:AZ19"/>
    <mergeCell ref="BU16:CD16"/>
    <mergeCell ref="BA16:BJ16"/>
    <mergeCell ref="BK16:BT16"/>
    <mergeCell ref="A16:M16"/>
    <mergeCell ref="N16:T16"/>
    <mergeCell ref="U16:AD16"/>
    <mergeCell ref="AE16:AO16"/>
    <mergeCell ref="AP16:AZ16"/>
    <mergeCell ref="A23:T23"/>
    <mergeCell ref="U23:AD23"/>
    <mergeCell ref="AE23:AO23"/>
    <mergeCell ref="AP23:AZ23"/>
    <mergeCell ref="BA18:BJ18"/>
    <mergeCell ref="BK18:BT18"/>
    <mergeCell ref="BU18:CD18"/>
    <mergeCell ref="A18:M18"/>
    <mergeCell ref="N18:T18"/>
    <mergeCell ref="U18:AD18"/>
    <mergeCell ref="AE18:AO18"/>
    <mergeCell ref="AP18:AZ18"/>
    <mergeCell ref="BA17:BJ17"/>
    <mergeCell ref="BK17:BT17"/>
    <mergeCell ref="BU17:CD17"/>
    <mergeCell ref="A17:M17"/>
    <mergeCell ref="BA15:BJ15"/>
    <mergeCell ref="BK15:BT15"/>
    <mergeCell ref="BU15:CD15"/>
    <mergeCell ref="A15:M15"/>
    <mergeCell ref="N15:T15"/>
    <mergeCell ref="U15:AD15"/>
    <mergeCell ref="AE15:AO15"/>
    <mergeCell ref="AP15:AZ15"/>
    <mergeCell ref="BU14:CD14"/>
    <mergeCell ref="BA14:BJ14"/>
    <mergeCell ref="BK14:BT14"/>
    <mergeCell ref="A14:M14"/>
    <mergeCell ref="N14:T14"/>
    <mergeCell ref="U14:AD14"/>
    <mergeCell ref="AE14:AO14"/>
    <mergeCell ref="AP14:AZ14"/>
    <mergeCell ref="BK10:CD10"/>
    <mergeCell ref="AE11:AO11"/>
    <mergeCell ref="A8:T11"/>
    <mergeCell ref="U8:CD8"/>
    <mergeCell ref="U9:AZ9"/>
    <mergeCell ref="BA9:CD9"/>
    <mergeCell ref="J3:CD3"/>
    <mergeCell ref="J4:CD4"/>
    <mergeCell ref="A6:CD6"/>
  </mergeCells>
  <pageMargins left="0.39370078740157483" right="0.39370078740157483" top="0.39370078740157483" bottom="0.39370078740157483" header="0" footer="0"/>
  <pageSetup paperSize="9" scale="82" fitToHeight="0" pageOrder="overThenDown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view="pageBreakPreview" zoomScale="90" zoomScaleSheetLayoutView="90" workbookViewId="0">
      <selection activeCell="A2" sqref="A2:G2"/>
    </sheetView>
  </sheetViews>
  <sheetFormatPr defaultRowHeight="14.4" x14ac:dyDescent="0.3"/>
  <cols>
    <col min="1" max="1" width="7.109375" style="824" customWidth="1"/>
    <col min="2" max="2" width="34.33203125" style="824" customWidth="1"/>
    <col min="3" max="3" width="12.88671875" style="824" customWidth="1"/>
    <col min="4" max="7" width="15.6640625" style="824" customWidth="1"/>
    <col min="8" max="256" width="9.109375" style="824"/>
    <col min="257" max="257" width="7.109375" style="824" customWidth="1"/>
    <col min="258" max="258" width="34.33203125" style="824" customWidth="1"/>
    <col min="259" max="259" width="12.88671875" style="824" customWidth="1"/>
    <col min="260" max="263" width="15.6640625" style="824" customWidth="1"/>
    <col min="264" max="512" width="9.109375" style="824"/>
    <col min="513" max="513" width="7.109375" style="824" customWidth="1"/>
    <col min="514" max="514" width="34.33203125" style="824" customWidth="1"/>
    <col min="515" max="515" width="12.88671875" style="824" customWidth="1"/>
    <col min="516" max="519" width="15.6640625" style="824" customWidth="1"/>
    <col min="520" max="768" width="9.109375" style="824"/>
    <col min="769" max="769" width="7.109375" style="824" customWidth="1"/>
    <col min="770" max="770" width="34.33203125" style="824" customWidth="1"/>
    <col min="771" max="771" width="12.88671875" style="824" customWidth="1"/>
    <col min="772" max="775" width="15.6640625" style="824" customWidth="1"/>
    <col min="776" max="1024" width="9.109375" style="824"/>
    <col min="1025" max="1025" width="7.109375" style="824" customWidth="1"/>
    <col min="1026" max="1026" width="34.33203125" style="824" customWidth="1"/>
    <col min="1027" max="1027" width="12.88671875" style="824" customWidth="1"/>
    <col min="1028" max="1031" width="15.6640625" style="824" customWidth="1"/>
    <col min="1032" max="1280" width="9.109375" style="824"/>
    <col min="1281" max="1281" width="7.109375" style="824" customWidth="1"/>
    <col min="1282" max="1282" width="34.33203125" style="824" customWidth="1"/>
    <col min="1283" max="1283" width="12.88671875" style="824" customWidth="1"/>
    <col min="1284" max="1287" width="15.6640625" style="824" customWidth="1"/>
    <col min="1288" max="1536" width="9.109375" style="824"/>
    <col min="1537" max="1537" width="7.109375" style="824" customWidth="1"/>
    <col min="1538" max="1538" width="34.33203125" style="824" customWidth="1"/>
    <col min="1539" max="1539" width="12.88671875" style="824" customWidth="1"/>
    <col min="1540" max="1543" width="15.6640625" style="824" customWidth="1"/>
    <col min="1544" max="1792" width="9.109375" style="824"/>
    <col min="1793" max="1793" width="7.109375" style="824" customWidth="1"/>
    <col min="1794" max="1794" width="34.33203125" style="824" customWidth="1"/>
    <col min="1795" max="1795" width="12.88671875" style="824" customWidth="1"/>
    <col min="1796" max="1799" width="15.6640625" style="824" customWidth="1"/>
    <col min="1800" max="2048" width="9.109375" style="824"/>
    <col min="2049" max="2049" width="7.109375" style="824" customWidth="1"/>
    <col min="2050" max="2050" width="34.33203125" style="824" customWidth="1"/>
    <col min="2051" max="2051" width="12.88671875" style="824" customWidth="1"/>
    <col min="2052" max="2055" width="15.6640625" style="824" customWidth="1"/>
    <col min="2056" max="2304" width="9.109375" style="824"/>
    <col min="2305" max="2305" width="7.109375" style="824" customWidth="1"/>
    <col min="2306" max="2306" width="34.33203125" style="824" customWidth="1"/>
    <col min="2307" max="2307" width="12.88671875" style="824" customWidth="1"/>
    <col min="2308" max="2311" width="15.6640625" style="824" customWidth="1"/>
    <col min="2312" max="2560" width="9.109375" style="824"/>
    <col min="2561" max="2561" width="7.109375" style="824" customWidth="1"/>
    <col min="2562" max="2562" width="34.33203125" style="824" customWidth="1"/>
    <col min="2563" max="2563" width="12.88671875" style="824" customWidth="1"/>
    <col min="2564" max="2567" width="15.6640625" style="824" customWidth="1"/>
    <col min="2568" max="2816" width="9.109375" style="824"/>
    <col min="2817" max="2817" width="7.109375" style="824" customWidth="1"/>
    <col min="2818" max="2818" width="34.33203125" style="824" customWidth="1"/>
    <col min="2819" max="2819" width="12.88671875" style="824" customWidth="1"/>
    <col min="2820" max="2823" width="15.6640625" style="824" customWidth="1"/>
    <col min="2824" max="3072" width="9.109375" style="824"/>
    <col min="3073" max="3073" width="7.109375" style="824" customWidth="1"/>
    <col min="3074" max="3074" width="34.33203125" style="824" customWidth="1"/>
    <col min="3075" max="3075" width="12.88671875" style="824" customWidth="1"/>
    <col min="3076" max="3079" width="15.6640625" style="824" customWidth="1"/>
    <col min="3080" max="3328" width="9.109375" style="824"/>
    <col min="3329" max="3329" width="7.109375" style="824" customWidth="1"/>
    <col min="3330" max="3330" width="34.33203125" style="824" customWidth="1"/>
    <col min="3331" max="3331" width="12.88671875" style="824" customWidth="1"/>
    <col min="3332" max="3335" width="15.6640625" style="824" customWidth="1"/>
    <col min="3336" max="3584" width="9.109375" style="824"/>
    <col min="3585" max="3585" width="7.109375" style="824" customWidth="1"/>
    <col min="3586" max="3586" width="34.33203125" style="824" customWidth="1"/>
    <col min="3587" max="3587" width="12.88671875" style="824" customWidth="1"/>
    <col min="3588" max="3591" width="15.6640625" style="824" customWidth="1"/>
    <col min="3592" max="3840" width="9.109375" style="824"/>
    <col min="3841" max="3841" width="7.109375" style="824" customWidth="1"/>
    <col min="3842" max="3842" width="34.33203125" style="824" customWidth="1"/>
    <col min="3843" max="3843" width="12.88671875" style="824" customWidth="1"/>
    <col min="3844" max="3847" width="15.6640625" style="824" customWidth="1"/>
    <col min="3848" max="4096" width="9.109375" style="824"/>
    <col min="4097" max="4097" width="7.109375" style="824" customWidth="1"/>
    <col min="4098" max="4098" width="34.33203125" style="824" customWidth="1"/>
    <col min="4099" max="4099" width="12.88671875" style="824" customWidth="1"/>
    <col min="4100" max="4103" width="15.6640625" style="824" customWidth="1"/>
    <col min="4104" max="4352" width="9.109375" style="824"/>
    <col min="4353" max="4353" width="7.109375" style="824" customWidth="1"/>
    <col min="4354" max="4354" width="34.33203125" style="824" customWidth="1"/>
    <col min="4355" max="4355" width="12.88671875" style="824" customWidth="1"/>
    <col min="4356" max="4359" width="15.6640625" style="824" customWidth="1"/>
    <col min="4360" max="4608" width="9.109375" style="824"/>
    <col min="4609" max="4609" width="7.109375" style="824" customWidth="1"/>
    <col min="4610" max="4610" width="34.33203125" style="824" customWidth="1"/>
    <col min="4611" max="4611" width="12.88671875" style="824" customWidth="1"/>
    <col min="4612" max="4615" width="15.6640625" style="824" customWidth="1"/>
    <col min="4616" max="4864" width="9.109375" style="824"/>
    <col min="4865" max="4865" width="7.109375" style="824" customWidth="1"/>
    <col min="4866" max="4866" width="34.33203125" style="824" customWidth="1"/>
    <col min="4867" max="4867" width="12.88671875" style="824" customWidth="1"/>
    <col min="4868" max="4871" width="15.6640625" style="824" customWidth="1"/>
    <col min="4872" max="5120" width="9.109375" style="824"/>
    <col min="5121" max="5121" width="7.109375" style="824" customWidth="1"/>
    <col min="5122" max="5122" width="34.33203125" style="824" customWidth="1"/>
    <col min="5123" max="5123" width="12.88671875" style="824" customWidth="1"/>
    <col min="5124" max="5127" width="15.6640625" style="824" customWidth="1"/>
    <col min="5128" max="5376" width="9.109375" style="824"/>
    <col min="5377" max="5377" width="7.109375" style="824" customWidth="1"/>
    <col min="5378" max="5378" width="34.33203125" style="824" customWidth="1"/>
    <col min="5379" max="5379" width="12.88671875" style="824" customWidth="1"/>
    <col min="5380" max="5383" width="15.6640625" style="824" customWidth="1"/>
    <col min="5384" max="5632" width="9.109375" style="824"/>
    <col min="5633" max="5633" width="7.109375" style="824" customWidth="1"/>
    <col min="5634" max="5634" width="34.33203125" style="824" customWidth="1"/>
    <col min="5635" max="5635" width="12.88671875" style="824" customWidth="1"/>
    <col min="5636" max="5639" width="15.6640625" style="824" customWidth="1"/>
    <col min="5640" max="5888" width="9.109375" style="824"/>
    <col min="5889" max="5889" width="7.109375" style="824" customWidth="1"/>
    <col min="5890" max="5890" width="34.33203125" style="824" customWidth="1"/>
    <col min="5891" max="5891" width="12.88671875" style="824" customWidth="1"/>
    <col min="5892" max="5895" width="15.6640625" style="824" customWidth="1"/>
    <col min="5896" max="6144" width="9.109375" style="824"/>
    <col min="6145" max="6145" width="7.109375" style="824" customWidth="1"/>
    <col min="6146" max="6146" width="34.33203125" style="824" customWidth="1"/>
    <col min="6147" max="6147" width="12.88671875" style="824" customWidth="1"/>
    <col min="6148" max="6151" width="15.6640625" style="824" customWidth="1"/>
    <col min="6152" max="6400" width="9.109375" style="824"/>
    <col min="6401" max="6401" width="7.109375" style="824" customWidth="1"/>
    <col min="6402" max="6402" width="34.33203125" style="824" customWidth="1"/>
    <col min="6403" max="6403" width="12.88671875" style="824" customWidth="1"/>
    <col min="6404" max="6407" width="15.6640625" style="824" customWidth="1"/>
    <col min="6408" max="6656" width="9.109375" style="824"/>
    <col min="6657" max="6657" width="7.109375" style="824" customWidth="1"/>
    <col min="6658" max="6658" width="34.33203125" style="824" customWidth="1"/>
    <col min="6659" max="6659" width="12.88671875" style="824" customWidth="1"/>
    <col min="6660" max="6663" width="15.6640625" style="824" customWidth="1"/>
    <col min="6664" max="6912" width="9.109375" style="824"/>
    <col min="6913" max="6913" width="7.109375" style="824" customWidth="1"/>
    <col min="6914" max="6914" width="34.33203125" style="824" customWidth="1"/>
    <col min="6915" max="6915" width="12.88671875" style="824" customWidth="1"/>
    <col min="6916" max="6919" width="15.6640625" style="824" customWidth="1"/>
    <col min="6920" max="7168" width="9.109375" style="824"/>
    <col min="7169" max="7169" width="7.109375" style="824" customWidth="1"/>
    <col min="7170" max="7170" width="34.33203125" style="824" customWidth="1"/>
    <col min="7171" max="7171" width="12.88671875" style="824" customWidth="1"/>
    <col min="7172" max="7175" width="15.6640625" style="824" customWidth="1"/>
    <col min="7176" max="7424" width="9.109375" style="824"/>
    <col min="7425" max="7425" width="7.109375" style="824" customWidth="1"/>
    <col min="7426" max="7426" width="34.33203125" style="824" customWidth="1"/>
    <col min="7427" max="7427" width="12.88671875" style="824" customWidth="1"/>
    <col min="7428" max="7431" width="15.6640625" style="824" customWidth="1"/>
    <col min="7432" max="7680" width="9.109375" style="824"/>
    <col min="7681" max="7681" width="7.109375" style="824" customWidth="1"/>
    <col min="7682" max="7682" width="34.33203125" style="824" customWidth="1"/>
    <col min="7683" max="7683" width="12.88671875" style="824" customWidth="1"/>
    <col min="7684" max="7687" width="15.6640625" style="824" customWidth="1"/>
    <col min="7688" max="7936" width="9.109375" style="824"/>
    <col min="7937" max="7937" width="7.109375" style="824" customWidth="1"/>
    <col min="7938" max="7938" width="34.33203125" style="824" customWidth="1"/>
    <col min="7939" max="7939" width="12.88671875" style="824" customWidth="1"/>
    <col min="7940" max="7943" width="15.6640625" style="824" customWidth="1"/>
    <col min="7944" max="8192" width="9.109375" style="824"/>
    <col min="8193" max="8193" width="7.109375" style="824" customWidth="1"/>
    <col min="8194" max="8194" width="34.33203125" style="824" customWidth="1"/>
    <col min="8195" max="8195" width="12.88671875" style="824" customWidth="1"/>
    <col min="8196" max="8199" width="15.6640625" style="824" customWidth="1"/>
    <col min="8200" max="8448" width="9.109375" style="824"/>
    <col min="8449" max="8449" width="7.109375" style="824" customWidth="1"/>
    <col min="8450" max="8450" width="34.33203125" style="824" customWidth="1"/>
    <col min="8451" max="8451" width="12.88671875" style="824" customWidth="1"/>
    <col min="8452" max="8455" width="15.6640625" style="824" customWidth="1"/>
    <col min="8456" max="8704" width="9.109375" style="824"/>
    <col min="8705" max="8705" width="7.109375" style="824" customWidth="1"/>
    <col min="8706" max="8706" width="34.33203125" style="824" customWidth="1"/>
    <col min="8707" max="8707" width="12.88671875" style="824" customWidth="1"/>
    <col min="8708" max="8711" width="15.6640625" style="824" customWidth="1"/>
    <col min="8712" max="8960" width="9.109375" style="824"/>
    <col min="8961" max="8961" width="7.109375" style="824" customWidth="1"/>
    <col min="8962" max="8962" width="34.33203125" style="824" customWidth="1"/>
    <col min="8963" max="8963" width="12.88671875" style="824" customWidth="1"/>
    <col min="8964" max="8967" width="15.6640625" style="824" customWidth="1"/>
    <col min="8968" max="9216" width="9.109375" style="824"/>
    <col min="9217" max="9217" width="7.109375" style="824" customWidth="1"/>
    <col min="9218" max="9218" width="34.33203125" style="824" customWidth="1"/>
    <col min="9219" max="9219" width="12.88671875" style="824" customWidth="1"/>
    <col min="9220" max="9223" width="15.6640625" style="824" customWidth="1"/>
    <col min="9224" max="9472" width="9.109375" style="824"/>
    <col min="9473" max="9473" width="7.109375" style="824" customWidth="1"/>
    <col min="9474" max="9474" width="34.33203125" style="824" customWidth="1"/>
    <col min="9475" max="9475" width="12.88671875" style="824" customWidth="1"/>
    <col min="9476" max="9479" width="15.6640625" style="824" customWidth="1"/>
    <col min="9480" max="9728" width="9.109375" style="824"/>
    <col min="9729" max="9729" width="7.109375" style="824" customWidth="1"/>
    <col min="9730" max="9730" width="34.33203125" style="824" customWidth="1"/>
    <col min="9731" max="9731" width="12.88671875" style="824" customWidth="1"/>
    <col min="9732" max="9735" width="15.6640625" style="824" customWidth="1"/>
    <col min="9736" max="9984" width="9.109375" style="824"/>
    <col min="9985" max="9985" width="7.109375" style="824" customWidth="1"/>
    <col min="9986" max="9986" width="34.33203125" style="824" customWidth="1"/>
    <col min="9987" max="9987" width="12.88671875" style="824" customWidth="1"/>
    <col min="9988" max="9991" width="15.6640625" style="824" customWidth="1"/>
    <col min="9992" max="10240" width="9.109375" style="824"/>
    <col min="10241" max="10241" width="7.109375" style="824" customWidth="1"/>
    <col min="10242" max="10242" width="34.33203125" style="824" customWidth="1"/>
    <col min="10243" max="10243" width="12.88671875" style="824" customWidth="1"/>
    <col min="10244" max="10247" width="15.6640625" style="824" customWidth="1"/>
    <col min="10248" max="10496" width="9.109375" style="824"/>
    <col min="10497" max="10497" width="7.109375" style="824" customWidth="1"/>
    <col min="10498" max="10498" width="34.33203125" style="824" customWidth="1"/>
    <col min="10499" max="10499" width="12.88671875" style="824" customWidth="1"/>
    <col min="10500" max="10503" width="15.6640625" style="824" customWidth="1"/>
    <col min="10504" max="10752" width="9.109375" style="824"/>
    <col min="10753" max="10753" width="7.109375" style="824" customWidth="1"/>
    <col min="10754" max="10754" width="34.33203125" style="824" customWidth="1"/>
    <col min="10755" max="10755" width="12.88671875" style="824" customWidth="1"/>
    <col min="10756" max="10759" width="15.6640625" style="824" customWidth="1"/>
    <col min="10760" max="11008" width="9.109375" style="824"/>
    <col min="11009" max="11009" width="7.109375" style="824" customWidth="1"/>
    <col min="11010" max="11010" width="34.33203125" style="824" customWidth="1"/>
    <col min="11011" max="11011" width="12.88671875" style="824" customWidth="1"/>
    <col min="11012" max="11015" width="15.6640625" style="824" customWidth="1"/>
    <col min="11016" max="11264" width="9.109375" style="824"/>
    <col min="11265" max="11265" width="7.109375" style="824" customWidth="1"/>
    <col min="11266" max="11266" width="34.33203125" style="824" customWidth="1"/>
    <col min="11267" max="11267" width="12.88671875" style="824" customWidth="1"/>
    <col min="11268" max="11271" width="15.6640625" style="824" customWidth="1"/>
    <col min="11272" max="11520" width="9.109375" style="824"/>
    <col min="11521" max="11521" width="7.109375" style="824" customWidth="1"/>
    <col min="11522" max="11522" width="34.33203125" style="824" customWidth="1"/>
    <col min="11523" max="11523" width="12.88671875" style="824" customWidth="1"/>
    <col min="11524" max="11527" width="15.6640625" style="824" customWidth="1"/>
    <col min="11528" max="11776" width="9.109375" style="824"/>
    <col min="11777" max="11777" width="7.109375" style="824" customWidth="1"/>
    <col min="11778" max="11778" width="34.33203125" style="824" customWidth="1"/>
    <col min="11779" max="11779" width="12.88671875" style="824" customWidth="1"/>
    <col min="11780" max="11783" width="15.6640625" style="824" customWidth="1"/>
    <col min="11784" max="12032" width="9.109375" style="824"/>
    <col min="12033" max="12033" width="7.109375" style="824" customWidth="1"/>
    <col min="12034" max="12034" width="34.33203125" style="824" customWidth="1"/>
    <col min="12035" max="12035" width="12.88671875" style="824" customWidth="1"/>
    <col min="12036" max="12039" width="15.6640625" style="824" customWidth="1"/>
    <col min="12040" max="12288" width="9.109375" style="824"/>
    <col min="12289" max="12289" width="7.109375" style="824" customWidth="1"/>
    <col min="12290" max="12290" width="34.33203125" style="824" customWidth="1"/>
    <col min="12291" max="12291" width="12.88671875" style="824" customWidth="1"/>
    <col min="12292" max="12295" width="15.6640625" style="824" customWidth="1"/>
    <col min="12296" max="12544" width="9.109375" style="824"/>
    <col min="12545" max="12545" width="7.109375" style="824" customWidth="1"/>
    <col min="12546" max="12546" width="34.33203125" style="824" customWidth="1"/>
    <col min="12547" max="12547" width="12.88671875" style="824" customWidth="1"/>
    <col min="12548" max="12551" width="15.6640625" style="824" customWidth="1"/>
    <col min="12552" max="12800" width="9.109375" style="824"/>
    <col min="12801" max="12801" width="7.109375" style="824" customWidth="1"/>
    <col min="12802" max="12802" width="34.33203125" style="824" customWidth="1"/>
    <col min="12803" max="12803" width="12.88671875" style="824" customWidth="1"/>
    <col min="12804" max="12807" width="15.6640625" style="824" customWidth="1"/>
    <col min="12808" max="13056" width="9.109375" style="824"/>
    <col min="13057" max="13057" width="7.109375" style="824" customWidth="1"/>
    <col min="13058" max="13058" width="34.33203125" style="824" customWidth="1"/>
    <col min="13059" max="13059" width="12.88671875" style="824" customWidth="1"/>
    <col min="13060" max="13063" width="15.6640625" style="824" customWidth="1"/>
    <col min="13064" max="13312" width="9.109375" style="824"/>
    <col min="13313" max="13313" width="7.109375" style="824" customWidth="1"/>
    <col min="13314" max="13314" width="34.33203125" style="824" customWidth="1"/>
    <col min="13315" max="13315" width="12.88671875" style="824" customWidth="1"/>
    <col min="13316" max="13319" width="15.6640625" style="824" customWidth="1"/>
    <col min="13320" max="13568" width="9.109375" style="824"/>
    <col min="13569" max="13569" width="7.109375" style="824" customWidth="1"/>
    <col min="13570" max="13570" width="34.33203125" style="824" customWidth="1"/>
    <col min="13571" max="13571" width="12.88671875" style="824" customWidth="1"/>
    <col min="13572" max="13575" width="15.6640625" style="824" customWidth="1"/>
    <col min="13576" max="13824" width="9.109375" style="824"/>
    <col min="13825" max="13825" width="7.109375" style="824" customWidth="1"/>
    <col min="13826" max="13826" width="34.33203125" style="824" customWidth="1"/>
    <col min="13827" max="13827" width="12.88671875" style="824" customWidth="1"/>
    <col min="13828" max="13831" width="15.6640625" style="824" customWidth="1"/>
    <col min="13832" max="14080" width="9.109375" style="824"/>
    <col min="14081" max="14081" width="7.109375" style="824" customWidth="1"/>
    <col min="14082" max="14082" width="34.33203125" style="824" customWidth="1"/>
    <col min="14083" max="14083" width="12.88671875" style="824" customWidth="1"/>
    <col min="14084" max="14087" width="15.6640625" style="824" customWidth="1"/>
    <col min="14088" max="14336" width="9.109375" style="824"/>
    <col min="14337" max="14337" width="7.109375" style="824" customWidth="1"/>
    <col min="14338" max="14338" width="34.33203125" style="824" customWidth="1"/>
    <col min="14339" max="14339" width="12.88671875" style="824" customWidth="1"/>
    <col min="14340" max="14343" width="15.6640625" style="824" customWidth="1"/>
    <col min="14344" max="14592" width="9.109375" style="824"/>
    <col min="14593" max="14593" width="7.109375" style="824" customWidth="1"/>
    <col min="14594" max="14594" width="34.33203125" style="824" customWidth="1"/>
    <col min="14595" max="14595" width="12.88671875" style="824" customWidth="1"/>
    <col min="14596" max="14599" width="15.6640625" style="824" customWidth="1"/>
    <col min="14600" max="14848" width="9.109375" style="824"/>
    <col min="14849" max="14849" width="7.109375" style="824" customWidth="1"/>
    <col min="14850" max="14850" width="34.33203125" style="824" customWidth="1"/>
    <col min="14851" max="14851" width="12.88671875" style="824" customWidth="1"/>
    <col min="14852" max="14855" width="15.6640625" style="824" customWidth="1"/>
    <col min="14856" max="15104" width="9.109375" style="824"/>
    <col min="15105" max="15105" width="7.109375" style="824" customWidth="1"/>
    <col min="15106" max="15106" width="34.33203125" style="824" customWidth="1"/>
    <col min="15107" max="15107" width="12.88671875" style="824" customWidth="1"/>
    <col min="15108" max="15111" width="15.6640625" style="824" customWidth="1"/>
    <col min="15112" max="15360" width="9.109375" style="824"/>
    <col min="15361" max="15361" width="7.109375" style="824" customWidth="1"/>
    <col min="15362" max="15362" width="34.33203125" style="824" customWidth="1"/>
    <col min="15363" max="15363" width="12.88671875" style="824" customWidth="1"/>
    <col min="15364" max="15367" width="15.6640625" style="824" customWidth="1"/>
    <col min="15368" max="15616" width="9.109375" style="824"/>
    <col min="15617" max="15617" width="7.109375" style="824" customWidth="1"/>
    <col min="15618" max="15618" width="34.33203125" style="824" customWidth="1"/>
    <col min="15619" max="15619" width="12.88671875" style="824" customWidth="1"/>
    <col min="15620" max="15623" width="15.6640625" style="824" customWidth="1"/>
    <col min="15624" max="15872" width="9.109375" style="824"/>
    <col min="15873" max="15873" width="7.109375" style="824" customWidth="1"/>
    <col min="15874" max="15874" width="34.33203125" style="824" customWidth="1"/>
    <col min="15875" max="15875" width="12.88671875" style="824" customWidth="1"/>
    <col min="15876" max="15879" width="15.6640625" style="824" customWidth="1"/>
    <col min="15880" max="16128" width="9.109375" style="824"/>
    <col min="16129" max="16129" width="7.109375" style="824" customWidth="1"/>
    <col min="16130" max="16130" width="34.33203125" style="824" customWidth="1"/>
    <col min="16131" max="16131" width="12.88671875" style="824" customWidth="1"/>
    <col min="16132" max="16135" width="15.6640625" style="824" customWidth="1"/>
    <col min="16136" max="16384" width="9.109375" style="824"/>
  </cols>
  <sheetData>
    <row r="1" spans="1:7" x14ac:dyDescent="0.3">
      <c r="A1" s="823"/>
      <c r="B1" s="823"/>
      <c r="C1" s="823"/>
      <c r="D1" s="823"/>
      <c r="E1" s="1091" t="s">
        <v>935</v>
      </c>
      <c r="F1" s="1091"/>
      <c r="G1" s="1091"/>
    </row>
    <row r="2" spans="1:7" ht="15" customHeight="1" x14ac:dyDescent="0.3">
      <c r="A2" s="1091" t="s">
        <v>1565</v>
      </c>
      <c r="B2" s="1091"/>
      <c r="C2" s="1091"/>
      <c r="D2" s="1091"/>
      <c r="E2" s="1091"/>
      <c r="F2" s="1091"/>
      <c r="G2" s="1091"/>
    </row>
    <row r="3" spans="1:7" x14ac:dyDescent="0.3">
      <c r="A3" s="1092" t="s">
        <v>1031</v>
      </c>
      <c r="B3" s="1092"/>
      <c r="C3" s="1092"/>
      <c r="D3" s="1092"/>
      <c r="E3" s="1092"/>
      <c r="F3" s="1092"/>
      <c r="G3" s="1092"/>
    </row>
    <row r="4" spans="1:7" x14ac:dyDescent="0.3">
      <c r="A4" s="825"/>
      <c r="B4" s="825"/>
      <c r="C4" s="825"/>
      <c r="D4" s="825"/>
      <c r="E4" s="825"/>
      <c r="F4" s="825"/>
      <c r="G4" s="825" t="s">
        <v>1561</v>
      </c>
    </row>
    <row r="5" spans="1:7" x14ac:dyDescent="0.3">
      <c r="A5" s="825"/>
      <c r="B5" s="825"/>
      <c r="C5" s="825"/>
      <c r="D5" s="825"/>
      <c r="E5" s="825"/>
      <c r="F5" s="825"/>
      <c r="G5" s="825"/>
    </row>
    <row r="6" spans="1:7" ht="17.399999999999999" x14ac:dyDescent="0.3">
      <c r="A6" s="1093" t="s">
        <v>1526</v>
      </c>
      <c r="B6" s="1093"/>
      <c r="C6" s="1093"/>
      <c r="D6" s="1093"/>
      <c r="E6" s="1093"/>
      <c r="F6" s="1093"/>
      <c r="G6" s="1093"/>
    </row>
    <row r="7" spans="1:7" ht="16.5" customHeight="1" x14ac:dyDescent="0.3">
      <c r="A7" s="1094" t="s">
        <v>1527</v>
      </c>
      <c r="B7" s="1094"/>
      <c r="C7" s="1094"/>
      <c r="D7" s="1094"/>
      <c r="E7" s="1094"/>
      <c r="F7" s="1094"/>
      <c r="G7" s="1094"/>
    </row>
    <row r="8" spans="1:7" ht="19.5" customHeight="1" x14ac:dyDescent="0.3">
      <c r="A8" s="826"/>
      <c r="B8" s="826"/>
      <c r="C8" s="826"/>
      <c r="D8" s="826"/>
      <c r="E8" s="826"/>
      <c r="F8" s="826"/>
      <c r="G8" s="826"/>
    </row>
    <row r="9" spans="1:7" x14ac:dyDescent="0.3">
      <c r="A9" s="1095" t="s">
        <v>910</v>
      </c>
      <c r="B9" s="1095"/>
      <c r="C9" s="1095"/>
      <c r="D9" s="1095"/>
      <c r="E9" s="1095"/>
      <c r="F9" s="1095"/>
      <c r="G9" s="1095"/>
    </row>
    <row r="10" spans="1:7" ht="15.75" customHeight="1" x14ac:dyDescent="0.3">
      <c r="A10" s="1096" t="s">
        <v>618</v>
      </c>
      <c r="B10" s="1096" t="s">
        <v>1528</v>
      </c>
      <c r="C10" s="1096" t="s">
        <v>1529</v>
      </c>
      <c r="D10" s="1096" t="s">
        <v>1530</v>
      </c>
      <c r="E10" s="1096"/>
      <c r="F10" s="1096"/>
      <c r="G10" s="1096"/>
    </row>
    <row r="11" spans="1:7" ht="31.2" x14ac:dyDescent="0.3">
      <c r="A11" s="1096"/>
      <c r="B11" s="1096"/>
      <c r="C11" s="1096"/>
      <c r="D11" s="827" t="s">
        <v>1531</v>
      </c>
      <c r="E11" s="827" t="s">
        <v>1532</v>
      </c>
      <c r="F11" s="827" t="s">
        <v>1533</v>
      </c>
      <c r="G11" s="827" t="s">
        <v>1534</v>
      </c>
    </row>
    <row r="12" spans="1:7" x14ac:dyDescent="0.3">
      <c r="A12" s="828">
        <v>1</v>
      </c>
      <c r="B12" s="828">
        <v>2</v>
      </c>
      <c r="C12" s="828">
        <v>3</v>
      </c>
      <c r="D12" s="828">
        <v>4</v>
      </c>
      <c r="E12" s="828">
        <v>5</v>
      </c>
      <c r="F12" s="828">
        <v>6</v>
      </c>
      <c r="G12" s="828">
        <v>7</v>
      </c>
    </row>
    <row r="13" spans="1:7" ht="42.75" customHeight="1" x14ac:dyDescent="0.3">
      <c r="A13" s="1097" t="s">
        <v>1209</v>
      </c>
      <c r="B13" s="1097"/>
      <c r="C13" s="1097"/>
      <c r="D13" s="1097"/>
      <c r="E13" s="1097"/>
      <c r="F13" s="1097"/>
      <c r="G13" s="1097"/>
    </row>
    <row r="14" spans="1:7" ht="39.6" x14ac:dyDescent="0.3">
      <c r="A14" s="829">
        <v>1</v>
      </c>
      <c r="B14" s="830" t="s">
        <v>1535</v>
      </c>
      <c r="C14" s="831">
        <v>32947689</v>
      </c>
      <c r="D14" s="832">
        <v>1606.1</v>
      </c>
      <c r="E14" s="832">
        <v>5699.6</v>
      </c>
      <c r="F14" s="832">
        <v>5566</v>
      </c>
      <c r="G14" s="832">
        <f>D14+E14-F14</f>
        <v>1739.7000000000007</v>
      </c>
    </row>
    <row r="15" spans="1:7" x14ac:dyDescent="0.3">
      <c r="A15" s="1088" t="s">
        <v>920</v>
      </c>
      <c r="B15" s="1089"/>
      <c r="C15" s="833">
        <f>C14</f>
        <v>32947689</v>
      </c>
      <c r="D15" s="834">
        <f>D14</f>
        <v>1606.1</v>
      </c>
      <c r="E15" s="834">
        <f>E14</f>
        <v>5699.6</v>
      </c>
      <c r="F15" s="834">
        <f>F14</f>
        <v>5566</v>
      </c>
      <c r="G15" s="834">
        <f>G14</f>
        <v>1739.7000000000007</v>
      </c>
    </row>
    <row r="16" spans="1:7" ht="40.5" customHeight="1" x14ac:dyDescent="0.3">
      <c r="A16" s="1088" t="s">
        <v>1211</v>
      </c>
      <c r="B16" s="1090"/>
      <c r="C16" s="1090"/>
      <c r="D16" s="1090"/>
      <c r="E16" s="1090"/>
      <c r="F16" s="1090"/>
      <c r="G16" s="1089"/>
    </row>
    <row r="17" spans="1:7" ht="52.8" x14ac:dyDescent="0.3">
      <c r="A17" s="835">
        <v>1</v>
      </c>
      <c r="B17" s="830" t="s">
        <v>1536</v>
      </c>
      <c r="C17" s="831">
        <v>17322371.219999999</v>
      </c>
      <c r="D17" s="831">
        <v>106.7</v>
      </c>
      <c r="E17" s="831">
        <v>352.6</v>
      </c>
      <c r="F17" s="831">
        <v>357.1</v>
      </c>
      <c r="G17" s="831">
        <f>D17+E17-F17</f>
        <v>102.19999999999999</v>
      </c>
    </row>
    <row r="18" spans="1:7" x14ac:dyDescent="0.3">
      <c r="A18" s="1088" t="s">
        <v>920</v>
      </c>
      <c r="B18" s="1089"/>
      <c r="C18" s="833">
        <f>C17</f>
        <v>17322371.219999999</v>
      </c>
      <c r="D18" s="833">
        <f>D17</f>
        <v>106.7</v>
      </c>
      <c r="E18" s="833">
        <f>E17</f>
        <v>352.6</v>
      </c>
      <c r="F18" s="833">
        <f>F17</f>
        <v>357.1</v>
      </c>
      <c r="G18" s="833">
        <f>G17</f>
        <v>102.19999999999999</v>
      </c>
    </row>
    <row r="19" spans="1:7" x14ac:dyDescent="0.3">
      <c r="A19" s="1088" t="s">
        <v>1537</v>
      </c>
      <c r="B19" s="1090"/>
      <c r="C19" s="1090"/>
      <c r="D19" s="1090"/>
      <c r="E19" s="1090"/>
      <c r="F19" s="1090"/>
      <c r="G19" s="1089"/>
    </row>
    <row r="20" spans="1:7" ht="52.8" x14ac:dyDescent="0.3">
      <c r="A20" s="835">
        <v>1</v>
      </c>
      <c r="B20" s="830" t="s">
        <v>1538</v>
      </c>
      <c r="C20" s="831">
        <v>10531.3</v>
      </c>
      <c r="D20" s="832">
        <v>2759.1282799999999</v>
      </c>
      <c r="E20" s="832">
        <v>993.10808999999995</v>
      </c>
      <c r="F20" s="832">
        <v>1802.9554599999999</v>
      </c>
      <c r="G20" s="832">
        <f>D20+E20-F20</f>
        <v>1949.2809099999997</v>
      </c>
    </row>
    <row r="21" spans="1:7" x14ac:dyDescent="0.3">
      <c r="A21" s="1088" t="s">
        <v>920</v>
      </c>
      <c r="B21" s="1089"/>
      <c r="C21" s="833">
        <f>C20</f>
        <v>10531.3</v>
      </c>
      <c r="D21" s="834">
        <f>D20</f>
        <v>2759.1282799999999</v>
      </c>
      <c r="E21" s="834">
        <f>E20</f>
        <v>993.10808999999995</v>
      </c>
      <c r="F21" s="834">
        <f>F20</f>
        <v>1802.9554599999999</v>
      </c>
      <c r="G21" s="834">
        <f>G20</f>
        <v>1949.2809099999997</v>
      </c>
    </row>
    <row r="22" spans="1:7" ht="42.75" customHeight="1" x14ac:dyDescent="0.3">
      <c r="A22" s="1085" t="s">
        <v>1213</v>
      </c>
      <c r="B22" s="1086"/>
      <c r="C22" s="1086"/>
      <c r="D22" s="1086"/>
      <c r="E22" s="1086"/>
      <c r="F22" s="1086"/>
      <c r="G22" s="1087"/>
    </row>
    <row r="23" spans="1:7" ht="39.6" x14ac:dyDescent="0.3">
      <c r="A23" s="836" t="s">
        <v>624</v>
      </c>
      <c r="B23" s="837" t="s">
        <v>1539</v>
      </c>
      <c r="C23" s="831">
        <v>159.6</v>
      </c>
      <c r="D23" s="831">
        <v>100.3669</v>
      </c>
      <c r="E23" s="831">
        <v>401.93443000000002</v>
      </c>
      <c r="F23" s="831">
        <v>354.66802999999999</v>
      </c>
      <c r="G23" s="831">
        <f>D23+E23-F23</f>
        <v>147.63330000000002</v>
      </c>
    </row>
    <row r="24" spans="1:7" x14ac:dyDescent="0.3">
      <c r="A24" s="1088" t="s">
        <v>920</v>
      </c>
      <c r="B24" s="1089"/>
      <c r="C24" s="833">
        <f>C23</f>
        <v>159.6</v>
      </c>
      <c r="D24" s="833">
        <f>D23</f>
        <v>100.3669</v>
      </c>
      <c r="E24" s="833">
        <f>E23</f>
        <v>401.93443000000002</v>
      </c>
      <c r="F24" s="833">
        <f>F23</f>
        <v>354.66802999999999</v>
      </c>
      <c r="G24" s="833">
        <f>G23</f>
        <v>147.63330000000002</v>
      </c>
    </row>
    <row r="25" spans="1:7" ht="23.25" customHeight="1" x14ac:dyDescent="0.3">
      <c r="A25" s="1085" t="s">
        <v>1215</v>
      </c>
      <c r="B25" s="1086"/>
      <c r="C25" s="1086"/>
      <c r="D25" s="1086"/>
      <c r="E25" s="1086"/>
      <c r="F25" s="1086"/>
      <c r="G25" s="1087"/>
    </row>
    <row r="26" spans="1:7" ht="31.5" customHeight="1" x14ac:dyDescent="0.3">
      <c r="A26" s="836">
        <v>2</v>
      </c>
      <c r="B26" s="837" t="s">
        <v>1540</v>
      </c>
      <c r="C26" s="831">
        <v>182.1</v>
      </c>
      <c r="D26" s="831">
        <v>110.55871</v>
      </c>
      <c r="E26" s="831">
        <v>95.305760000000006</v>
      </c>
      <c r="F26" s="831">
        <v>152.90768</v>
      </c>
      <c r="G26" s="831">
        <f>D26+E26-F26</f>
        <v>52.956790000000012</v>
      </c>
    </row>
    <row r="27" spans="1:7" x14ac:dyDescent="0.3">
      <c r="A27" s="1088" t="s">
        <v>920</v>
      </c>
      <c r="B27" s="1089"/>
      <c r="C27" s="833">
        <f>C26</f>
        <v>182.1</v>
      </c>
      <c r="D27" s="833">
        <f>D26</f>
        <v>110.55871</v>
      </c>
      <c r="E27" s="833">
        <f>E26</f>
        <v>95.305760000000006</v>
      </c>
      <c r="F27" s="833">
        <f>F26</f>
        <v>152.90768</v>
      </c>
      <c r="G27" s="833">
        <f>G26</f>
        <v>52.956790000000012</v>
      </c>
    </row>
  </sheetData>
  <mergeCells count="20">
    <mergeCell ref="A15:B15"/>
    <mergeCell ref="E1:G1"/>
    <mergeCell ref="A2:G2"/>
    <mergeCell ref="A3:G3"/>
    <mergeCell ref="A6:G6"/>
    <mergeCell ref="A7:G7"/>
    <mergeCell ref="A9:G9"/>
    <mergeCell ref="A10:A11"/>
    <mergeCell ref="B10:B11"/>
    <mergeCell ref="C10:C11"/>
    <mergeCell ref="D10:G10"/>
    <mergeCell ref="A13:G13"/>
    <mergeCell ref="A25:G25"/>
    <mergeCell ref="A27:B27"/>
    <mergeCell ref="A16:G16"/>
    <mergeCell ref="A18:B18"/>
    <mergeCell ref="A19:G19"/>
    <mergeCell ref="A21:B21"/>
    <mergeCell ref="A22:G22"/>
    <mergeCell ref="A24:B24"/>
  </mergeCells>
  <pageMargins left="0.51181102362204722" right="0.51181102362204722" top="0.74803149606299213" bottom="0.74803149606299213" header="0.31496062992125984" footer="0.31496062992125984"/>
  <pageSetup paperSize="9" scale="7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17"/>
  <sheetViews>
    <sheetView tabSelected="1" view="pageBreakPreview" zoomScale="80" zoomScaleSheetLayoutView="80" workbookViewId="0">
      <selection activeCell="D5" sqref="D5"/>
    </sheetView>
  </sheetViews>
  <sheetFormatPr defaultColWidth="9.109375" defaultRowHeight="13.8" x14ac:dyDescent="0.25"/>
  <cols>
    <col min="1" max="1" width="5.88671875" style="838" customWidth="1"/>
    <col min="2" max="2" width="32.33203125" style="838" customWidth="1"/>
    <col min="3" max="3" width="36.44140625" style="838" customWidth="1"/>
    <col min="4" max="4" width="12.5546875" style="838" customWidth="1"/>
    <col min="5" max="5" width="13.109375" style="838" customWidth="1"/>
    <col min="6" max="6" width="13.6640625" style="838" customWidth="1"/>
    <col min="7" max="7" width="18.88671875" style="838" customWidth="1"/>
    <col min="8" max="16384" width="9.109375" style="838"/>
  </cols>
  <sheetData>
    <row r="1" spans="1:7" x14ac:dyDescent="0.25">
      <c r="F1" s="853"/>
      <c r="G1" s="853" t="s">
        <v>935</v>
      </c>
    </row>
    <row r="2" spans="1:7" x14ac:dyDescent="0.25">
      <c r="A2" s="1101" t="s">
        <v>909</v>
      </c>
      <c r="B2" s="1101"/>
      <c r="C2" s="1101"/>
      <c r="D2" s="1101"/>
      <c r="E2" s="1101"/>
      <c r="F2" s="1101"/>
      <c r="G2" s="1101"/>
    </row>
    <row r="3" spans="1:7" x14ac:dyDescent="0.25">
      <c r="A3" s="1101" t="s">
        <v>1031</v>
      </c>
      <c r="B3" s="1101"/>
      <c r="C3" s="1101"/>
      <c r="D3" s="1101"/>
      <c r="E3" s="1101"/>
      <c r="F3" s="1101"/>
      <c r="G3" s="1101"/>
    </row>
    <row r="4" spans="1:7" x14ac:dyDescent="0.25">
      <c r="F4" s="915" t="s">
        <v>1561</v>
      </c>
      <c r="G4" s="915"/>
    </row>
    <row r="5" spans="1:7" x14ac:dyDescent="0.25">
      <c r="F5" s="822"/>
      <c r="G5" s="822"/>
    </row>
    <row r="6" spans="1:7" x14ac:dyDescent="0.25">
      <c r="A6" s="1102" t="s">
        <v>950</v>
      </c>
      <c r="B6" s="1102"/>
      <c r="C6" s="1102"/>
      <c r="D6" s="1102"/>
      <c r="E6" s="1102"/>
      <c r="F6" s="1102"/>
      <c r="G6" s="1102"/>
    </row>
    <row r="7" spans="1:7" ht="33" customHeight="1" x14ac:dyDescent="0.25">
      <c r="A7" s="1103" t="s">
        <v>1559</v>
      </c>
      <c r="B7" s="1103"/>
      <c r="C7" s="1103"/>
      <c r="D7" s="1103"/>
      <c r="E7" s="1103"/>
      <c r="F7" s="1103"/>
      <c r="G7" s="1103"/>
    </row>
    <row r="8" spans="1:7" ht="19.5" customHeight="1" x14ac:dyDescent="0.25">
      <c r="A8" s="852"/>
      <c r="B8" s="852"/>
      <c r="C8" s="852"/>
      <c r="D8" s="852"/>
      <c r="E8" s="852"/>
      <c r="F8" s="852"/>
      <c r="G8" s="851" t="s">
        <v>910</v>
      </c>
    </row>
    <row r="9" spans="1:7" ht="55.2" x14ac:dyDescent="0.25">
      <c r="A9" s="850" t="s">
        <v>618</v>
      </c>
      <c r="B9" s="850" t="s">
        <v>1558</v>
      </c>
      <c r="C9" s="850" t="s">
        <v>1557</v>
      </c>
      <c r="D9" s="850" t="s">
        <v>1556</v>
      </c>
      <c r="E9" s="850" t="s">
        <v>1555</v>
      </c>
      <c r="F9" s="850" t="s">
        <v>1554</v>
      </c>
      <c r="G9" s="850" t="s">
        <v>1553</v>
      </c>
    </row>
    <row r="10" spans="1:7" x14ac:dyDescent="0.25">
      <c r="A10" s="850">
        <v>1</v>
      </c>
      <c r="B10" s="850">
        <v>2</v>
      </c>
      <c r="C10" s="850">
        <v>3</v>
      </c>
      <c r="D10" s="850">
        <v>4</v>
      </c>
      <c r="E10" s="850">
        <v>5</v>
      </c>
      <c r="F10" s="850">
        <v>6</v>
      </c>
      <c r="G10" s="850">
        <v>7</v>
      </c>
    </row>
    <row r="11" spans="1:7" ht="93.6" x14ac:dyDescent="0.25">
      <c r="A11" s="845">
        <v>1</v>
      </c>
      <c r="B11" s="843" t="s">
        <v>1552</v>
      </c>
      <c r="C11" s="843" t="s">
        <v>1551</v>
      </c>
      <c r="D11" s="849">
        <v>0</v>
      </c>
      <c r="E11" s="848">
        <v>73.05</v>
      </c>
      <c r="F11" s="848">
        <v>73.05</v>
      </c>
      <c r="G11" s="841">
        <v>0</v>
      </c>
    </row>
    <row r="12" spans="1:7" ht="93.6" x14ac:dyDescent="0.25">
      <c r="A12" s="845">
        <v>2</v>
      </c>
      <c r="B12" s="843" t="s">
        <v>1550</v>
      </c>
      <c r="C12" s="843" t="s">
        <v>1549</v>
      </c>
      <c r="D12" s="842">
        <v>0</v>
      </c>
      <c r="E12" s="841">
        <v>412.1</v>
      </c>
      <c r="F12" s="842">
        <v>412.1</v>
      </c>
      <c r="G12" s="841">
        <v>0</v>
      </c>
    </row>
    <row r="13" spans="1:7" ht="93.6" x14ac:dyDescent="0.25">
      <c r="A13" s="845">
        <v>3</v>
      </c>
      <c r="B13" s="843" t="s">
        <v>1548</v>
      </c>
      <c r="C13" s="843" t="s">
        <v>1547</v>
      </c>
      <c r="D13" s="842">
        <v>47</v>
      </c>
      <c r="E13" s="841">
        <v>0</v>
      </c>
      <c r="F13" s="842">
        <v>47</v>
      </c>
      <c r="G13" s="841">
        <v>0</v>
      </c>
    </row>
    <row r="14" spans="1:7" ht="358.8" x14ac:dyDescent="0.25">
      <c r="A14" s="845">
        <v>4</v>
      </c>
      <c r="B14" s="847" t="s">
        <v>1546</v>
      </c>
      <c r="C14" s="843" t="s">
        <v>1545</v>
      </c>
      <c r="D14" s="842">
        <v>75.5</v>
      </c>
      <c r="E14" s="841">
        <v>0</v>
      </c>
      <c r="F14" s="842">
        <v>75.5</v>
      </c>
      <c r="G14" s="841">
        <v>0</v>
      </c>
    </row>
    <row r="15" spans="1:7" ht="202.8" x14ac:dyDescent="0.25">
      <c r="A15" s="845">
        <v>5</v>
      </c>
      <c r="B15" s="846" t="s">
        <v>1544</v>
      </c>
      <c r="C15" s="843" t="s">
        <v>1543</v>
      </c>
      <c r="D15" s="842">
        <v>364.125</v>
      </c>
      <c r="E15" s="841">
        <v>0</v>
      </c>
      <c r="F15" s="842">
        <v>364.125</v>
      </c>
      <c r="G15" s="841">
        <v>0</v>
      </c>
    </row>
    <row r="16" spans="1:7" ht="171.6" x14ac:dyDescent="0.25">
      <c r="A16" s="845">
        <v>6</v>
      </c>
      <c r="B16" s="844" t="s">
        <v>1542</v>
      </c>
      <c r="C16" s="843" t="s">
        <v>1541</v>
      </c>
      <c r="D16" s="842">
        <v>990</v>
      </c>
      <c r="E16" s="841">
        <v>0</v>
      </c>
      <c r="F16" s="842">
        <v>990</v>
      </c>
      <c r="G16" s="841">
        <v>0</v>
      </c>
    </row>
    <row r="17" spans="1:7" s="839" customFormat="1" x14ac:dyDescent="0.25">
      <c r="A17" s="1098" t="s">
        <v>994</v>
      </c>
      <c r="B17" s="1099"/>
      <c r="C17" s="1100"/>
      <c r="D17" s="840">
        <f>SUM(D11:D16)</f>
        <v>1476.625</v>
      </c>
      <c r="E17" s="840">
        <f>SUM(E11:E16)</f>
        <v>485.15000000000003</v>
      </c>
      <c r="F17" s="840">
        <f>SUM(F11:F16)</f>
        <v>1961.7750000000001</v>
      </c>
      <c r="G17" s="840">
        <f>SUM(G11:G16)</f>
        <v>0</v>
      </c>
    </row>
  </sheetData>
  <mergeCells count="6">
    <mergeCell ref="A17:C17"/>
    <mergeCell ref="A2:G2"/>
    <mergeCell ref="A3:G3"/>
    <mergeCell ref="F4:G4"/>
    <mergeCell ref="A6:G6"/>
    <mergeCell ref="A7:G7"/>
  </mergeCells>
  <pageMargins left="1.1023622047244095" right="0.51181102362204722" top="0.74803149606299213" bottom="0.35433070866141736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909"/>
  <sheetViews>
    <sheetView view="pageBreakPreview" zoomScale="85" zoomScaleNormal="63" zoomScaleSheetLayoutView="85" workbookViewId="0">
      <selection activeCell="H6" sqref="H6"/>
    </sheetView>
  </sheetViews>
  <sheetFormatPr defaultColWidth="9.109375" defaultRowHeight="14.4" x14ac:dyDescent="0.3"/>
  <cols>
    <col min="1" max="2" width="9.109375" style="1"/>
    <col min="3" max="3" width="14.44140625" style="1" customWidth="1"/>
    <col min="4" max="4" width="7.5546875" style="1" customWidth="1"/>
    <col min="5" max="5" width="78.109375" style="1" customWidth="1"/>
    <col min="6" max="9" width="15.44140625" style="1" customWidth="1"/>
    <col min="10" max="16384" width="9.109375" style="1"/>
  </cols>
  <sheetData>
    <row r="1" spans="1:10" ht="15" customHeight="1" x14ac:dyDescent="0.3">
      <c r="A1" s="870" t="s">
        <v>1448</v>
      </c>
      <c r="B1" s="870"/>
      <c r="C1" s="870"/>
      <c r="D1" s="870"/>
      <c r="E1" s="870"/>
      <c r="F1" s="870"/>
      <c r="G1" s="870"/>
      <c r="H1" s="870"/>
      <c r="I1" s="870"/>
      <c r="J1" s="811"/>
    </row>
    <row r="2" spans="1:10" ht="15" customHeight="1" x14ac:dyDescent="0.3">
      <c r="A2" s="870" t="s">
        <v>909</v>
      </c>
      <c r="B2" s="870"/>
      <c r="C2" s="870"/>
      <c r="D2" s="870"/>
      <c r="E2" s="870"/>
      <c r="F2" s="870"/>
      <c r="G2" s="870"/>
      <c r="H2" s="870"/>
      <c r="I2" s="870"/>
      <c r="J2" s="811"/>
    </row>
    <row r="3" spans="1:10" ht="15.75" customHeight="1" x14ac:dyDescent="0.3">
      <c r="A3" s="870" t="s">
        <v>1031</v>
      </c>
      <c r="B3" s="870"/>
      <c r="C3" s="870"/>
      <c r="D3" s="870"/>
      <c r="E3" s="870"/>
      <c r="F3" s="870"/>
      <c r="G3" s="870"/>
      <c r="H3" s="870"/>
      <c r="I3" s="870"/>
      <c r="J3" s="811"/>
    </row>
    <row r="4" spans="1:10" ht="15.75" customHeight="1" x14ac:dyDescent="0.3">
      <c r="A4" s="870" t="s">
        <v>1561</v>
      </c>
      <c r="B4" s="870"/>
      <c r="C4" s="870"/>
      <c r="D4" s="870"/>
      <c r="E4" s="870"/>
      <c r="F4" s="870"/>
      <c r="G4" s="870"/>
      <c r="H4" s="870"/>
      <c r="I4" s="870"/>
      <c r="J4" s="811"/>
    </row>
    <row r="5" spans="1:10" ht="15" customHeight="1" x14ac:dyDescent="0.3">
      <c r="C5" s="131"/>
      <c r="D5" s="131"/>
      <c r="E5" s="131"/>
      <c r="F5" s="130"/>
      <c r="G5" s="130"/>
      <c r="H5" s="130"/>
      <c r="I5" s="130"/>
    </row>
    <row r="6" spans="1:10" ht="15" customHeight="1" x14ac:dyDescent="0.3">
      <c r="C6" s="131"/>
      <c r="D6" s="131"/>
      <c r="E6" s="131"/>
      <c r="F6" s="130"/>
      <c r="G6" s="130"/>
      <c r="H6" s="130"/>
      <c r="I6" s="130"/>
    </row>
    <row r="7" spans="1:10" ht="15" customHeight="1" x14ac:dyDescent="0.3">
      <c r="A7" s="869" t="s">
        <v>1447</v>
      </c>
      <c r="B7" s="869"/>
      <c r="C7" s="869"/>
      <c r="D7" s="869"/>
      <c r="E7" s="869"/>
      <c r="F7" s="869"/>
      <c r="G7" s="869"/>
      <c r="H7" s="869"/>
      <c r="I7" s="869"/>
    </row>
    <row r="8" spans="1:10" x14ac:dyDescent="0.3">
      <c r="A8" s="129"/>
      <c r="B8" s="129"/>
      <c r="C8" s="129"/>
      <c r="D8" s="129"/>
      <c r="E8" s="129"/>
      <c r="F8" s="129"/>
      <c r="G8" s="129"/>
      <c r="H8" s="129"/>
      <c r="I8" s="129"/>
    </row>
    <row r="9" spans="1:10" ht="38.25" customHeight="1" x14ac:dyDescent="0.3">
      <c r="A9" s="128" t="s">
        <v>561</v>
      </c>
      <c r="B9" s="128" t="s">
        <v>560</v>
      </c>
      <c r="C9" s="127" t="s">
        <v>559</v>
      </c>
      <c r="D9" s="127" t="s">
        <v>558</v>
      </c>
      <c r="E9" s="127" t="s">
        <v>557</v>
      </c>
      <c r="F9" s="348" t="s">
        <v>851</v>
      </c>
      <c r="G9" s="348" t="s">
        <v>852</v>
      </c>
      <c r="H9" s="348" t="s">
        <v>853</v>
      </c>
      <c r="I9" s="348" t="s">
        <v>854</v>
      </c>
    </row>
    <row r="10" spans="1:10" ht="15" customHeight="1" x14ac:dyDescent="0.3">
      <c r="A10" s="40">
        <v>601</v>
      </c>
      <c r="B10" s="40"/>
      <c r="C10" s="40"/>
      <c r="D10" s="40"/>
      <c r="E10" s="39" t="s">
        <v>556</v>
      </c>
      <c r="F10" s="38">
        <f>F11+F120+F129+F183+F311+F452+F470+F491+F442</f>
        <v>454758.96372999996</v>
      </c>
      <c r="G10" s="38">
        <f>G11+G120+G129+G183+G311+G452+G470+G491+G442</f>
        <v>524954.69195000001</v>
      </c>
      <c r="H10" s="38">
        <f>H11+H120+H129+H183+H311+H452+H470+H491+H442</f>
        <v>433263.00331</v>
      </c>
      <c r="I10" s="349">
        <f>H10/G10*100</f>
        <v>82.53340906442773</v>
      </c>
    </row>
    <row r="11" spans="1:10" ht="15" customHeight="1" x14ac:dyDescent="0.3">
      <c r="A11" s="21"/>
      <c r="B11" s="23" t="s">
        <v>40</v>
      </c>
      <c r="C11" s="22"/>
      <c r="D11" s="21"/>
      <c r="E11" s="20" t="s">
        <v>39</v>
      </c>
      <c r="F11" s="84">
        <f t="shared" ref="F11:H11" si="0">F12+F25+F66+F73</f>
        <v>101478.30288999999</v>
      </c>
      <c r="G11" s="84">
        <f t="shared" si="0"/>
        <v>102120.35829</v>
      </c>
      <c r="H11" s="84">
        <f t="shared" si="0"/>
        <v>101717.38578000001</v>
      </c>
      <c r="I11" s="350">
        <f t="shared" ref="I11:I79" si="1">H11/G11*100</f>
        <v>99.605394539592552</v>
      </c>
    </row>
    <row r="12" spans="1:10" ht="26.4" x14ac:dyDescent="0.3">
      <c r="A12" s="21"/>
      <c r="B12" s="23" t="s">
        <v>555</v>
      </c>
      <c r="C12" s="22"/>
      <c r="D12" s="21"/>
      <c r="E12" s="20" t="s">
        <v>554</v>
      </c>
      <c r="F12" s="84">
        <f t="shared" ref="F12:H12" si="2">F13+F19</f>
        <v>3081.1</v>
      </c>
      <c r="G12" s="84">
        <f t="shared" si="2"/>
        <v>3691.1</v>
      </c>
      <c r="H12" s="84">
        <f t="shared" si="2"/>
        <v>3691.1</v>
      </c>
      <c r="I12" s="350">
        <f t="shared" si="1"/>
        <v>100</v>
      </c>
    </row>
    <row r="13" spans="1:10" x14ac:dyDescent="0.3">
      <c r="A13" s="21"/>
      <c r="B13" s="23"/>
      <c r="C13" s="117" t="s">
        <v>36</v>
      </c>
      <c r="D13" s="126"/>
      <c r="E13" s="125" t="s">
        <v>35</v>
      </c>
      <c r="F13" s="84">
        <f t="shared" ref="F13:H17" si="3">F14</f>
        <v>2911.1</v>
      </c>
      <c r="G13" s="84">
        <f t="shared" si="3"/>
        <v>2911.1</v>
      </c>
      <c r="H13" s="84">
        <f t="shared" si="3"/>
        <v>2911.1</v>
      </c>
      <c r="I13" s="350">
        <f t="shared" si="1"/>
        <v>100</v>
      </c>
    </row>
    <row r="14" spans="1:10" ht="26.4" x14ac:dyDescent="0.3">
      <c r="A14" s="54"/>
      <c r="B14" s="34"/>
      <c r="C14" s="35" t="s">
        <v>34</v>
      </c>
      <c r="D14" s="34"/>
      <c r="E14" s="33" t="s">
        <v>103</v>
      </c>
      <c r="F14" s="32">
        <f t="shared" si="3"/>
        <v>2911.1</v>
      </c>
      <c r="G14" s="32">
        <f t="shared" si="3"/>
        <v>2911.1</v>
      </c>
      <c r="H14" s="32">
        <f t="shared" si="3"/>
        <v>2911.1</v>
      </c>
      <c r="I14" s="351">
        <f t="shared" si="1"/>
        <v>100</v>
      </c>
    </row>
    <row r="15" spans="1:10" ht="27" x14ac:dyDescent="0.3">
      <c r="A15" s="31"/>
      <c r="B15" s="31"/>
      <c r="C15" s="31" t="s">
        <v>32</v>
      </c>
      <c r="D15" s="31"/>
      <c r="E15" s="30" t="s">
        <v>31</v>
      </c>
      <c r="F15" s="29">
        <f t="shared" si="3"/>
        <v>2911.1</v>
      </c>
      <c r="G15" s="29">
        <f t="shared" si="3"/>
        <v>2911.1</v>
      </c>
      <c r="H15" s="29">
        <f t="shared" si="3"/>
        <v>2911.1</v>
      </c>
      <c r="I15" s="352">
        <f t="shared" si="1"/>
        <v>100</v>
      </c>
    </row>
    <row r="16" spans="1:10" ht="40.200000000000003" x14ac:dyDescent="0.3">
      <c r="A16" s="190"/>
      <c r="B16" s="190"/>
      <c r="C16" s="190" t="s">
        <v>30</v>
      </c>
      <c r="D16" s="190"/>
      <c r="E16" s="191" t="s">
        <v>29</v>
      </c>
      <c r="F16" s="192">
        <f t="shared" si="3"/>
        <v>2911.1</v>
      </c>
      <c r="G16" s="192">
        <f t="shared" si="3"/>
        <v>2911.1</v>
      </c>
      <c r="H16" s="192">
        <f t="shared" si="3"/>
        <v>2911.1</v>
      </c>
      <c r="I16" s="353">
        <f t="shared" si="1"/>
        <v>100</v>
      </c>
    </row>
    <row r="17" spans="1:9" ht="27" x14ac:dyDescent="0.3">
      <c r="A17" s="8"/>
      <c r="B17" s="8"/>
      <c r="C17" s="7" t="s">
        <v>553</v>
      </c>
      <c r="D17" s="7"/>
      <c r="E17" s="6" t="s">
        <v>552</v>
      </c>
      <c r="F17" s="9">
        <f t="shared" si="3"/>
        <v>2911.1</v>
      </c>
      <c r="G17" s="9">
        <f t="shared" si="3"/>
        <v>2911.1</v>
      </c>
      <c r="H17" s="9">
        <f t="shared" si="3"/>
        <v>2911.1</v>
      </c>
      <c r="I17" s="354">
        <f t="shared" si="1"/>
        <v>100</v>
      </c>
    </row>
    <row r="18" spans="1:9" ht="40.200000000000003" x14ac:dyDescent="0.3">
      <c r="A18" s="8"/>
      <c r="B18" s="8"/>
      <c r="C18" s="7"/>
      <c r="D18" s="7" t="s">
        <v>2</v>
      </c>
      <c r="E18" s="6" t="s">
        <v>1</v>
      </c>
      <c r="F18" s="9">
        <f>2693+218.1</f>
        <v>2911.1</v>
      </c>
      <c r="G18" s="9">
        <f t="shared" ref="G18:H18" si="4">2693+218.1</f>
        <v>2911.1</v>
      </c>
      <c r="H18" s="9">
        <f t="shared" si="4"/>
        <v>2911.1</v>
      </c>
      <c r="I18" s="354">
        <f t="shared" si="1"/>
        <v>100</v>
      </c>
    </row>
    <row r="19" spans="1:9" x14ac:dyDescent="0.3">
      <c r="A19" s="112"/>
      <c r="B19" s="112"/>
      <c r="C19" s="49" t="s">
        <v>52</v>
      </c>
      <c r="D19" s="48"/>
      <c r="E19" s="47" t="s">
        <v>51</v>
      </c>
      <c r="F19" s="110">
        <f t="shared" ref="F19:H21" si="5">F20</f>
        <v>170</v>
      </c>
      <c r="G19" s="110">
        <f t="shared" si="5"/>
        <v>780</v>
      </c>
      <c r="H19" s="110">
        <f t="shared" si="5"/>
        <v>780</v>
      </c>
      <c r="I19" s="355">
        <f t="shared" si="1"/>
        <v>100</v>
      </c>
    </row>
    <row r="20" spans="1:9" ht="26.4" x14ac:dyDescent="0.3">
      <c r="A20" s="124"/>
      <c r="B20" s="124"/>
      <c r="C20" s="123" t="s">
        <v>16</v>
      </c>
      <c r="D20" s="122"/>
      <c r="E20" s="121" t="s">
        <v>44</v>
      </c>
      <c r="F20" s="120">
        <f t="shared" si="5"/>
        <v>170</v>
      </c>
      <c r="G20" s="120">
        <f>G21+G23</f>
        <v>780</v>
      </c>
      <c r="H20" s="120">
        <f>H21+H23</f>
        <v>780</v>
      </c>
      <c r="I20" s="356">
        <f t="shared" si="1"/>
        <v>100</v>
      </c>
    </row>
    <row r="21" spans="1:9" x14ac:dyDescent="0.3">
      <c r="A21" s="343"/>
      <c r="B21" s="343"/>
      <c r="C21" s="342" t="s">
        <v>848</v>
      </c>
      <c r="D21" s="267"/>
      <c r="E21" s="270" t="s">
        <v>847</v>
      </c>
      <c r="F21" s="344">
        <f>F22</f>
        <v>170</v>
      </c>
      <c r="G21" s="344">
        <f t="shared" si="5"/>
        <v>170</v>
      </c>
      <c r="H21" s="344">
        <f t="shared" si="5"/>
        <v>170</v>
      </c>
      <c r="I21" s="357">
        <f t="shared" si="1"/>
        <v>100</v>
      </c>
    </row>
    <row r="22" spans="1:9" ht="40.200000000000003" x14ac:dyDescent="0.3">
      <c r="A22" s="343"/>
      <c r="B22" s="343"/>
      <c r="C22" s="342"/>
      <c r="D22" s="7" t="s">
        <v>2</v>
      </c>
      <c r="E22" s="6" t="s">
        <v>1</v>
      </c>
      <c r="F22" s="344">
        <v>170</v>
      </c>
      <c r="G22" s="344">
        <v>170</v>
      </c>
      <c r="H22" s="344">
        <v>170</v>
      </c>
      <c r="I22" s="357">
        <f t="shared" si="1"/>
        <v>100</v>
      </c>
    </row>
    <row r="23" spans="1:9" x14ac:dyDescent="0.3">
      <c r="A23" s="343"/>
      <c r="B23" s="343"/>
      <c r="C23" s="342" t="s">
        <v>855</v>
      </c>
      <c r="D23" s="342"/>
      <c r="E23" s="6" t="s">
        <v>856</v>
      </c>
      <c r="F23" s="344"/>
      <c r="G23" s="344">
        <v>610</v>
      </c>
      <c r="H23" s="344">
        <v>610</v>
      </c>
      <c r="I23" s="357">
        <f t="shared" si="1"/>
        <v>100</v>
      </c>
    </row>
    <row r="24" spans="1:9" ht="40.200000000000003" x14ac:dyDescent="0.3">
      <c r="A24" s="343"/>
      <c r="B24" s="343"/>
      <c r="C24" s="342"/>
      <c r="D24" s="7" t="s">
        <v>2</v>
      </c>
      <c r="E24" s="6" t="s">
        <v>1</v>
      </c>
      <c r="F24" s="344"/>
      <c r="G24" s="344">
        <v>610</v>
      </c>
      <c r="H24" s="344">
        <v>610</v>
      </c>
      <c r="I24" s="357">
        <f t="shared" si="1"/>
        <v>100</v>
      </c>
    </row>
    <row r="25" spans="1:9" s="78" customFormat="1" ht="40.200000000000003" x14ac:dyDescent="0.3">
      <c r="A25" s="118"/>
      <c r="B25" s="23" t="s">
        <v>551</v>
      </c>
      <c r="C25" s="61"/>
      <c r="D25" s="61"/>
      <c r="E25" s="116" t="s">
        <v>550</v>
      </c>
      <c r="F25" s="27">
        <f t="shared" ref="F25:H25" si="6">F26+F58</f>
        <v>51221.63115999999</v>
      </c>
      <c r="G25" s="27">
        <f t="shared" si="6"/>
        <v>51288.631159999997</v>
      </c>
      <c r="H25" s="27">
        <f t="shared" si="6"/>
        <v>51274.033289999999</v>
      </c>
      <c r="I25" s="358">
        <f t="shared" si="1"/>
        <v>99.97153780541646</v>
      </c>
    </row>
    <row r="26" spans="1:9" s="78" customFormat="1" x14ac:dyDescent="0.3">
      <c r="A26" s="118"/>
      <c r="B26" s="23"/>
      <c r="C26" s="117" t="s">
        <v>36</v>
      </c>
      <c r="D26" s="126"/>
      <c r="E26" s="125" t="s">
        <v>35</v>
      </c>
      <c r="F26" s="27">
        <f t="shared" ref="F26:H26" si="7">F27+F53</f>
        <v>50720.399999999987</v>
      </c>
      <c r="G26" s="27">
        <f t="shared" si="7"/>
        <v>50775.299999999996</v>
      </c>
      <c r="H26" s="27">
        <f t="shared" si="7"/>
        <v>50760.702129999998</v>
      </c>
      <c r="I26" s="358">
        <f t="shared" si="1"/>
        <v>99.971250056622011</v>
      </c>
    </row>
    <row r="27" spans="1:9" ht="26.4" x14ac:dyDescent="0.3">
      <c r="A27" s="54"/>
      <c r="B27" s="34"/>
      <c r="C27" s="35" t="s">
        <v>34</v>
      </c>
      <c r="D27" s="34"/>
      <c r="E27" s="33" t="s">
        <v>806</v>
      </c>
      <c r="F27" s="32">
        <f t="shared" ref="F27:H27" si="8">F28+F35</f>
        <v>50628.19999999999</v>
      </c>
      <c r="G27" s="32">
        <f t="shared" si="8"/>
        <v>50680.799999999996</v>
      </c>
      <c r="H27" s="32">
        <f t="shared" si="8"/>
        <v>50666.202129999998</v>
      </c>
      <c r="I27" s="351">
        <f t="shared" si="1"/>
        <v>99.971196449148408</v>
      </c>
    </row>
    <row r="28" spans="1:9" ht="27" x14ac:dyDescent="0.3">
      <c r="A28" s="31"/>
      <c r="B28" s="31"/>
      <c r="C28" s="31" t="s">
        <v>32</v>
      </c>
      <c r="D28" s="31"/>
      <c r="E28" s="30" t="s">
        <v>31</v>
      </c>
      <c r="F28" s="29">
        <f t="shared" ref="F28:H29" si="9">F29</f>
        <v>48051.19999999999</v>
      </c>
      <c r="G28" s="29">
        <f t="shared" si="9"/>
        <v>48039.199999999997</v>
      </c>
      <c r="H28" s="29">
        <f t="shared" si="9"/>
        <v>48024.602729999999</v>
      </c>
      <c r="I28" s="352">
        <f t="shared" si="1"/>
        <v>99.969613836200438</v>
      </c>
    </row>
    <row r="29" spans="1:9" ht="40.200000000000003" x14ac:dyDescent="0.3">
      <c r="A29" s="190"/>
      <c r="B29" s="190"/>
      <c r="C29" s="190" t="s">
        <v>30</v>
      </c>
      <c r="D29" s="190"/>
      <c r="E29" s="191" t="s">
        <v>29</v>
      </c>
      <c r="F29" s="192">
        <f t="shared" si="9"/>
        <v>48051.19999999999</v>
      </c>
      <c r="G29" s="192">
        <f t="shared" si="9"/>
        <v>48039.199999999997</v>
      </c>
      <c r="H29" s="192">
        <f t="shared" si="9"/>
        <v>48024.602729999999</v>
      </c>
      <c r="I29" s="353">
        <f t="shared" si="1"/>
        <v>99.969613836200438</v>
      </c>
    </row>
    <row r="30" spans="1:9" ht="26.4" x14ac:dyDescent="0.3">
      <c r="A30" s="8"/>
      <c r="B30" s="8"/>
      <c r="C30" s="7" t="s">
        <v>28</v>
      </c>
      <c r="D30" s="7"/>
      <c r="E30" s="10" t="s">
        <v>27</v>
      </c>
      <c r="F30" s="5">
        <f>F31+F32+F34</f>
        <v>48051.19999999999</v>
      </c>
      <c r="G30" s="5">
        <f>G31+G32+G34+G33</f>
        <v>48039.199999999997</v>
      </c>
      <c r="H30" s="5">
        <f>H31+H32+H34+H33</f>
        <v>48024.602729999999</v>
      </c>
      <c r="I30" s="359">
        <f t="shared" si="1"/>
        <v>99.969613836200438</v>
      </c>
    </row>
    <row r="31" spans="1:9" ht="40.200000000000003" x14ac:dyDescent="0.3">
      <c r="A31" s="8"/>
      <c r="B31" s="8"/>
      <c r="C31" s="7"/>
      <c r="D31" s="7" t="s">
        <v>2</v>
      </c>
      <c r="E31" s="6" t="s">
        <v>1</v>
      </c>
      <c r="F31" s="5">
        <f>44073.6-598.3+1983.7+157.2+61.6</f>
        <v>45677.799999999988</v>
      </c>
      <c r="G31" s="5">
        <v>45726.502639999999</v>
      </c>
      <c r="H31" s="5">
        <v>45713.384769999997</v>
      </c>
      <c r="I31" s="359">
        <f t="shared" si="1"/>
        <v>99.9713123260196</v>
      </c>
    </row>
    <row r="32" spans="1:9" x14ac:dyDescent="0.3">
      <c r="A32" s="8"/>
      <c r="B32" s="8"/>
      <c r="C32" s="7"/>
      <c r="D32" s="7" t="s">
        <v>12</v>
      </c>
      <c r="E32" s="6" t="s">
        <v>11</v>
      </c>
      <c r="F32" s="5">
        <f>2348.3-33.2+8.3</f>
        <v>2323.4000000000005</v>
      </c>
      <c r="G32" s="5">
        <v>2081.3674299999998</v>
      </c>
      <c r="H32" s="5">
        <v>2079.8880300000001</v>
      </c>
      <c r="I32" s="359">
        <f t="shared" si="1"/>
        <v>99.928921728154478</v>
      </c>
    </row>
    <row r="33" spans="1:9" x14ac:dyDescent="0.3">
      <c r="A33" s="343"/>
      <c r="B33" s="343"/>
      <c r="C33" s="342"/>
      <c r="D33" s="342" t="s">
        <v>79</v>
      </c>
      <c r="E33" s="391" t="s">
        <v>78</v>
      </c>
      <c r="F33" s="392"/>
      <c r="G33" s="392">
        <v>173.32992999999999</v>
      </c>
      <c r="H33" s="392">
        <v>173.32992999999999</v>
      </c>
      <c r="I33" s="393"/>
    </row>
    <row r="34" spans="1:9" x14ac:dyDescent="0.3">
      <c r="A34" s="334"/>
      <c r="B34" s="334"/>
      <c r="C34" s="326"/>
      <c r="D34" s="326" t="s">
        <v>22</v>
      </c>
      <c r="E34" s="330" t="s">
        <v>21</v>
      </c>
      <c r="F34" s="335">
        <v>50</v>
      </c>
      <c r="G34" s="335">
        <v>58</v>
      </c>
      <c r="H34" s="335">
        <v>58</v>
      </c>
      <c r="I34" s="360">
        <f t="shared" si="1"/>
        <v>100</v>
      </c>
    </row>
    <row r="35" spans="1:9" ht="40.200000000000003" x14ac:dyDescent="0.3">
      <c r="A35" s="31"/>
      <c r="B35" s="31"/>
      <c r="C35" s="31" t="s">
        <v>499</v>
      </c>
      <c r="D35" s="31"/>
      <c r="E35" s="52" t="s">
        <v>521</v>
      </c>
      <c r="F35" s="29">
        <f>F36</f>
        <v>2577</v>
      </c>
      <c r="G35" s="29">
        <f t="shared" ref="G35:H35" si="10">G36</f>
        <v>2641.6</v>
      </c>
      <c r="H35" s="29">
        <f t="shared" si="10"/>
        <v>2641.5994000000001</v>
      </c>
      <c r="I35" s="352">
        <f t="shared" si="1"/>
        <v>99.999977286493035</v>
      </c>
    </row>
    <row r="36" spans="1:9" ht="27" x14ac:dyDescent="0.3">
      <c r="A36" s="190"/>
      <c r="B36" s="190"/>
      <c r="C36" s="190" t="s">
        <v>497</v>
      </c>
      <c r="D36" s="197"/>
      <c r="E36" s="191" t="s">
        <v>520</v>
      </c>
      <c r="F36" s="192">
        <f>F37+F40+F43+F45+F48+F51</f>
        <v>2577</v>
      </c>
      <c r="G36" s="192">
        <f t="shared" ref="G36:H36" si="11">G37+G40+G43+G45+G48+G51</f>
        <v>2641.6</v>
      </c>
      <c r="H36" s="192">
        <f t="shared" si="11"/>
        <v>2641.5994000000001</v>
      </c>
      <c r="I36" s="353">
        <f t="shared" si="1"/>
        <v>99.999977286493035</v>
      </c>
    </row>
    <row r="37" spans="1:9" ht="27" x14ac:dyDescent="0.3">
      <c r="A37" s="8"/>
      <c r="B37" s="8"/>
      <c r="C37" s="7" t="s">
        <v>549</v>
      </c>
      <c r="D37" s="7"/>
      <c r="E37" s="64" t="s">
        <v>548</v>
      </c>
      <c r="F37" s="79">
        <f>SUM(F38:F39)</f>
        <v>1372.2</v>
      </c>
      <c r="G37" s="79">
        <f t="shared" ref="G37:H37" si="12">SUM(G38:G39)</f>
        <v>1406.7</v>
      </c>
      <c r="H37" s="79">
        <f t="shared" si="12"/>
        <v>1406.7</v>
      </c>
      <c r="I37" s="361">
        <f t="shared" si="1"/>
        <v>100</v>
      </c>
    </row>
    <row r="38" spans="1:9" ht="40.200000000000003" x14ac:dyDescent="0.3">
      <c r="A38" s="8"/>
      <c r="B38" s="8"/>
      <c r="C38" s="7"/>
      <c r="D38" s="7" t="s">
        <v>2</v>
      </c>
      <c r="E38" s="6" t="s">
        <v>1</v>
      </c>
      <c r="F38" s="79">
        <v>1196.7</v>
      </c>
      <c r="G38" s="79">
        <v>1304.3492100000001</v>
      </c>
      <c r="H38" s="79">
        <v>1304.3492100000001</v>
      </c>
      <c r="I38" s="361">
        <f t="shared" si="1"/>
        <v>100</v>
      </c>
    </row>
    <row r="39" spans="1:9" x14ac:dyDescent="0.3">
      <c r="A39" s="8"/>
      <c r="B39" s="8"/>
      <c r="C39" s="7"/>
      <c r="D39" s="7" t="s">
        <v>12</v>
      </c>
      <c r="E39" s="6" t="s">
        <v>11</v>
      </c>
      <c r="F39" s="79">
        <v>175.5</v>
      </c>
      <c r="G39" s="79">
        <v>102.35079</v>
      </c>
      <c r="H39" s="79">
        <v>102.35079</v>
      </c>
      <c r="I39" s="361">
        <f t="shared" si="1"/>
        <v>100</v>
      </c>
    </row>
    <row r="40" spans="1:9" ht="27" x14ac:dyDescent="0.3">
      <c r="A40" s="8"/>
      <c r="B40" s="8"/>
      <c r="C40" s="7" t="s">
        <v>746</v>
      </c>
      <c r="D40" s="7"/>
      <c r="E40" s="64" t="s">
        <v>547</v>
      </c>
      <c r="F40" s="79">
        <f>SUM(F41:F42)</f>
        <v>649.5</v>
      </c>
      <c r="G40" s="79">
        <f t="shared" ref="G40:H40" si="13">SUM(G41:G42)</f>
        <v>665.40000000000009</v>
      </c>
      <c r="H40" s="79">
        <f t="shared" si="13"/>
        <v>665.40000000000009</v>
      </c>
      <c r="I40" s="361">
        <f t="shared" si="1"/>
        <v>100</v>
      </c>
    </row>
    <row r="41" spans="1:9" ht="40.200000000000003" x14ac:dyDescent="0.3">
      <c r="A41" s="8"/>
      <c r="B41" s="8"/>
      <c r="C41" s="7"/>
      <c r="D41" s="7" t="s">
        <v>2</v>
      </c>
      <c r="E41" s="6" t="s">
        <v>1</v>
      </c>
      <c r="F41" s="79">
        <v>598.4</v>
      </c>
      <c r="G41" s="79">
        <v>637.08270000000005</v>
      </c>
      <c r="H41" s="79">
        <v>637.08270000000005</v>
      </c>
      <c r="I41" s="361">
        <f t="shared" si="1"/>
        <v>100</v>
      </c>
    </row>
    <row r="42" spans="1:9" x14ac:dyDescent="0.3">
      <c r="A42" s="8"/>
      <c r="B42" s="8"/>
      <c r="C42" s="7"/>
      <c r="D42" s="7" t="s">
        <v>12</v>
      </c>
      <c r="E42" s="6" t="s">
        <v>11</v>
      </c>
      <c r="F42" s="79">
        <v>51.1</v>
      </c>
      <c r="G42" s="79">
        <v>28.317299999999999</v>
      </c>
      <c r="H42" s="79">
        <v>28.317299999999999</v>
      </c>
      <c r="I42" s="361">
        <f t="shared" si="1"/>
        <v>100</v>
      </c>
    </row>
    <row r="43" spans="1:9" x14ac:dyDescent="0.3">
      <c r="A43" s="8"/>
      <c r="B43" s="8"/>
      <c r="C43" s="7" t="s">
        <v>546</v>
      </c>
      <c r="D43" s="7"/>
      <c r="E43" s="64" t="s">
        <v>545</v>
      </c>
      <c r="F43" s="79">
        <f>F44</f>
        <v>12.2</v>
      </c>
      <c r="G43" s="79">
        <f t="shared" ref="G43:H43" si="14">G44</f>
        <v>12.2</v>
      </c>
      <c r="H43" s="79">
        <f t="shared" si="14"/>
        <v>12.2</v>
      </c>
      <c r="I43" s="361">
        <f t="shared" si="1"/>
        <v>100</v>
      </c>
    </row>
    <row r="44" spans="1:9" x14ac:dyDescent="0.3">
      <c r="A44" s="8"/>
      <c r="B44" s="8"/>
      <c r="C44" s="7"/>
      <c r="D44" s="7" t="s">
        <v>12</v>
      </c>
      <c r="E44" s="6" t="s">
        <v>11</v>
      </c>
      <c r="F44" s="79">
        <v>12.2</v>
      </c>
      <c r="G44" s="79">
        <v>12.2</v>
      </c>
      <c r="H44" s="79">
        <v>12.2</v>
      </c>
      <c r="I44" s="361">
        <f t="shared" si="1"/>
        <v>100</v>
      </c>
    </row>
    <row r="45" spans="1:9" ht="27" x14ac:dyDescent="0.3">
      <c r="A45" s="8"/>
      <c r="B45" s="8"/>
      <c r="C45" s="7" t="s">
        <v>544</v>
      </c>
      <c r="D45" s="7"/>
      <c r="E45" s="6" t="s">
        <v>543</v>
      </c>
      <c r="F45" s="79">
        <f>SUM(F46:F47)</f>
        <v>73.599999999999994</v>
      </c>
      <c r="G45" s="79">
        <f t="shared" ref="G45:H45" si="15">SUM(G46:G47)</f>
        <v>75.5</v>
      </c>
      <c r="H45" s="79">
        <f t="shared" si="15"/>
        <v>75.499400000000009</v>
      </c>
      <c r="I45" s="361">
        <f t="shared" si="1"/>
        <v>99.999205298013266</v>
      </c>
    </row>
    <row r="46" spans="1:9" ht="40.200000000000003" x14ac:dyDescent="0.3">
      <c r="A46" s="8"/>
      <c r="B46" s="8"/>
      <c r="C46" s="7"/>
      <c r="D46" s="7" t="s">
        <v>2</v>
      </c>
      <c r="E46" s="6" t="s">
        <v>1</v>
      </c>
      <c r="F46" s="79">
        <v>59.8</v>
      </c>
      <c r="G46" s="79">
        <v>61.7</v>
      </c>
      <c r="H46" s="79">
        <v>61.7</v>
      </c>
      <c r="I46" s="361">
        <f t="shared" si="1"/>
        <v>100</v>
      </c>
    </row>
    <row r="47" spans="1:9" x14ac:dyDescent="0.3">
      <c r="A47" s="8"/>
      <c r="B47" s="8"/>
      <c r="C47" s="7"/>
      <c r="D47" s="7" t="s">
        <v>12</v>
      </c>
      <c r="E47" s="6" t="s">
        <v>11</v>
      </c>
      <c r="F47" s="79">
        <v>13.8</v>
      </c>
      <c r="G47" s="79">
        <v>13.8</v>
      </c>
      <c r="H47" s="79">
        <v>13.7994</v>
      </c>
      <c r="I47" s="361">
        <f t="shared" si="1"/>
        <v>99.995652173913044</v>
      </c>
    </row>
    <row r="48" spans="1:9" ht="27" x14ac:dyDescent="0.3">
      <c r="A48" s="8"/>
      <c r="B48" s="8"/>
      <c r="C48" s="7" t="s">
        <v>542</v>
      </c>
      <c r="D48" s="7"/>
      <c r="E48" s="6" t="s">
        <v>541</v>
      </c>
      <c r="F48" s="79">
        <f>SUM(F49:F50)</f>
        <v>453.3</v>
      </c>
      <c r="G48" s="79">
        <f t="shared" ref="G48:H48" si="16">SUM(G49:G50)</f>
        <v>465.2</v>
      </c>
      <c r="H48" s="79">
        <f t="shared" si="16"/>
        <v>465.2</v>
      </c>
      <c r="I48" s="361">
        <f t="shared" si="1"/>
        <v>100</v>
      </c>
    </row>
    <row r="49" spans="1:9" ht="40.200000000000003" x14ac:dyDescent="0.3">
      <c r="A49" s="8"/>
      <c r="B49" s="8"/>
      <c r="C49" s="7"/>
      <c r="D49" s="7" t="s">
        <v>2</v>
      </c>
      <c r="E49" s="6" t="s">
        <v>1</v>
      </c>
      <c r="F49" s="79">
        <v>404.8</v>
      </c>
      <c r="G49" s="79">
        <v>419.66300000000001</v>
      </c>
      <c r="H49" s="79">
        <v>419.66300000000001</v>
      </c>
      <c r="I49" s="361">
        <f t="shared" si="1"/>
        <v>100</v>
      </c>
    </row>
    <row r="50" spans="1:9" x14ac:dyDescent="0.3">
      <c r="A50" s="8"/>
      <c r="B50" s="8"/>
      <c r="C50" s="7"/>
      <c r="D50" s="7" t="s">
        <v>12</v>
      </c>
      <c r="E50" s="6" t="s">
        <v>11</v>
      </c>
      <c r="F50" s="79">
        <v>48.5</v>
      </c>
      <c r="G50" s="79">
        <v>45.536999999999999</v>
      </c>
      <c r="H50" s="79">
        <v>45.536999999999999</v>
      </c>
      <c r="I50" s="361">
        <f t="shared" si="1"/>
        <v>100</v>
      </c>
    </row>
    <row r="51" spans="1:9" ht="40.200000000000003" x14ac:dyDescent="0.3">
      <c r="A51" s="8"/>
      <c r="B51" s="8"/>
      <c r="C51" s="7" t="s">
        <v>540</v>
      </c>
      <c r="D51" s="7"/>
      <c r="E51" s="64" t="s">
        <v>539</v>
      </c>
      <c r="F51" s="79">
        <f>F52</f>
        <v>16.2</v>
      </c>
      <c r="G51" s="79">
        <f t="shared" ref="G51:H51" si="17">G52</f>
        <v>16.600000000000001</v>
      </c>
      <c r="H51" s="79">
        <f t="shared" si="17"/>
        <v>16.600000000000001</v>
      </c>
      <c r="I51" s="361">
        <f t="shared" si="1"/>
        <v>100</v>
      </c>
    </row>
    <row r="52" spans="1:9" x14ac:dyDescent="0.3">
      <c r="A52" s="8"/>
      <c r="B52" s="8"/>
      <c r="C52" s="7"/>
      <c r="D52" s="7" t="s">
        <v>12</v>
      </c>
      <c r="E52" s="6" t="s">
        <v>11</v>
      </c>
      <c r="F52" s="79">
        <v>16.2</v>
      </c>
      <c r="G52" s="79">
        <v>16.600000000000001</v>
      </c>
      <c r="H52" s="79">
        <v>16.600000000000001</v>
      </c>
      <c r="I52" s="361">
        <f t="shared" si="1"/>
        <v>100</v>
      </c>
    </row>
    <row r="53" spans="1:9" ht="26.4" x14ac:dyDescent="0.3">
      <c r="A53" s="54"/>
      <c r="B53" s="34"/>
      <c r="C53" s="35" t="s">
        <v>256</v>
      </c>
      <c r="D53" s="34"/>
      <c r="E53" s="33" t="s">
        <v>255</v>
      </c>
      <c r="F53" s="32">
        <f t="shared" ref="F53:H54" si="18">F54</f>
        <v>92.199999999999989</v>
      </c>
      <c r="G53" s="32">
        <f t="shared" si="18"/>
        <v>94.5</v>
      </c>
      <c r="H53" s="32">
        <f t="shared" si="18"/>
        <v>94.5</v>
      </c>
      <c r="I53" s="351">
        <f t="shared" si="1"/>
        <v>100</v>
      </c>
    </row>
    <row r="54" spans="1:9" ht="40.200000000000003" x14ac:dyDescent="0.3">
      <c r="A54" s="190"/>
      <c r="B54" s="190"/>
      <c r="C54" s="190" t="s">
        <v>254</v>
      </c>
      <c r="D54" s="190"/>
      <c r="E54" s="191" t="s">
        <v>253</v>
      </c>
      <c r="F54" s="192">
        <f t="shared" si="18"/>
        <v>92.199999999999989</v>
      </c>
      <c r="G54" s="192">
        <f t="shared" si="18"/>
        <v>94.5</v>
      </c>
      <c r="H54" s="192">
        <f t="shared" si="18"/>
        <v>94.5</v>
      </c>
      <c r="I54" s="353">
        <f t="shared" si="1"/>
        <v>100</v>
      </c>
    </row>
    <row r="55" spans="1:9" ht="39.6" x14ac:dyDescent="0.3">
      <c r="A55" s="8"/>
      <c r="B55" s="8"/>
      <c r="C55" s="7" t="s">
        <v>538</v>
      </c>
      <c r="D55" s="7"/>
      <c r="E55" s="10" t="s">
        <v>537</v>
      </c>
      <c r="F55" s="9">
        <f>F56+F57</f>
        <v>92.199999999999989</v>
      </c>
      <c r="G55" s="9">
        <f t="shared" ref="G55:H55" si="19">G56+G57</f>
        <v>94.5</v>
      </c>
      <c r="H55" s="9">
        <f t="shared" si="19"/>
        <v>94.5</v>
      </c>
      <c r="I55" s="354">
        <f t="shared" si="1"/>
        <v>100</v>
      </c>
    </row>
    <row r="56" spans="1:9" ht="40.200000000000003" x14ac:dyDescent="0.3">
      <c r="A56" s="8"/>
      <c r="B56" s="8"/>
      <c r="C56" s="7"/>
      <c r="D56" s="7" t="s">
        <v>2</v>
      </c>
      <c r="E56" s="6" t="s">
        <v>1</v>
      </c>
      <c r="F56" s="9">
        <v>59.8</v>
      </c>
      <c r="G56" s="9">
        <v>62.1</v>
      </c>
      <c r="H56" s="9">
        <v>62.1</v>
      </c>
      <c r="I56" s="354">
        <f t="shared" si="1"/>
        <v>100</v>
      </c>
    </row>
    <row r="57" spans="1:9" x14ac:dyDescent="0.3">
      <c r="A57" s="8"/>
      <c r="B57" s="8"/>
      <c r="C57" s="7"/>
      <c r="D57" s="7" t="s">
        <v>12</v>
      </c>
      <c r="E57" s="6" t="s">
        <v>11</v>
      </c>
      <c r="F57" s="9">
        <v>32.4</v>
      </c>
      <c r="G57" s="9">
        <v>32.4</v>
      </c>
      <c r="H57" s="9">
        <v>32.4</v>
      </c>
      <c r="I57" s="354">
        <f t="shared" si="1"/>
        <v>100</v>
      </c>
    </row>
    <row r="58" spans="1:9" s="78" customFormat="1" x14ac:dyDescent="0.3">
      <c r="A58" s="112"/>
      <c r="B58" s="112"/>
      <c r="C58" s="49" t="s">
        <v>52</v>
      </c>
      <c r="D58" s="48"/>
      <c r="E58" s="47" t="s">
        <v>51</v>
      </c>
      <c r="F58" s="110">
        <f t="shared" ref="F58:H60" si="20">F59</f>
        <v>501.23115999999999</v>
      </c>
      <c r="G58" s="110">
        <f t="shared" si="20"/>
        <v>513.33115999999995</v>
      </c>
      <c r="H58" s="110">
        <f t="shared" si="20"/>
        <v>513.33115999999995</v>
      </c>
      <c r="I58" s="355">
        <f t="shared" si="1"/>
        <v>100</v>
      </c>
    </row>
    <row r="59" spans="1:9" s="78" customFormat="1" ht="26.4" x14ac:dyDescent="0.3">
      <c r="A59" s="124"/>
      <c r="B59" s="124"/>
      <c r="C59" s="123" t="s">
        <v>16</v>
      </c>
      <c r="D59" s="122"/>
      <c r="E59" s="121" t="s">
        <v>44</v>
      </c>
      <c r="F59" s="120">
        <f>F60+F62</f>
        <v>501.23115999999999</v>
      </c>
      <c r="G59" s="120">
        <f>G60+G62+G64</f>
        <v>513.33115999999995</v>
      </c>
      <c r="H59" s="120">
        <f>H60+H62+H64</f>
        <v>513.33115999999995</v>
      </c>
      <c r="I59" s="356">
        <f t="shared" si="1"/>
        <v>100</v>
      </c>
    </row>
    <row r="60" spans="1:9" ht="26.4" x14ac:dyDescent="0.3">
      <c r="A60" s="8"/>
      <c r="B60" s="8"/>
      <c r="C60" s="57" t="s">
        <v>536</v>
      </c>
      <c r="D60" s="55"/>
      <c r="E60" s="10" t="s">
        <v>535</v>
      </c>
      <c r="F60" s="79">
        <f t="shared" si="20"/>
        <v>6.2</v>
      </c>
      <c r="G60" s="79">
        <f t="shared" si="20"/>
        <v>6.3</v>
      </c>
      <c r="H60" s="79">
        <f t="shared" si="20"/>
        <v>6.3</v>
      </c>
      <c r="I60" s="361">
        <f t="shared" si="1"/>
        <v>100</v>
      </c>
    </row>
    <row r="61" spans="1:9" x14ac:dyDescent="0.3">
      <c r="A61" s="8"/>
      <c r="B61" s="8"/>
      <c r="C61" s="57"/>
      <c r="D61" s="55" t="s">
        <v>12</v>
      </c>
      <c r="E61" s="10" t="s">
        <v>11</v>
      </c>
      <c r="F61" s="79">
        <v>6.2</v>
      </c>
      <c r="G61" s="79">
        <v>6.3</v>
      </c>
      <c r="H61" s="79">
        <v>6.3</v>
      </c>
      <c r="I61" s="361">
        <f t="shared" si="1"/>
        <v>100</v>
      </c>
    </row>
    <row r="62" spans="1:9" x14ac:dyDescent="0.3">
      <c r="A62" s="343"/>
      <c r="B62" s="343"/>
      <c r="C62" s="342" t="s">
        <v>848</v>
      </c>
      <c r="D62" s="267"/>
      <c r="E62" s="270" t="s">
        <v>847</v>
      </c>
      <c r="F62" s="344">
        <f>F63</f>
        <v>495.03116</v>
      </c>
      <c r="G62" s="344">
        <f t="shared" ref="G62:H62" si="21">G63</f>
        <v>495.03116</v>
      </c>
      <c r="H62" s="344">
        <f t="shared" si="21"/>
        <v>495.03116</v>
      </c>
      <c r="I62" s="357">
        <f t="shared" si="1"/>
        <v>100</v>
      </c>
    </row>
    <row r="63" spans="1:9" ht="40.200000000000003" x14ac:dyDescent="0.3">
      <c r="A63" s="343"/>
      <c r="B63" s="343"/>
      <c r="C63" s="342"/>
      <c r="D63" s="7" t="s">
        <v>2</v>
      </c>
      <c r="E63" s="6" t="s">
        <v>1</v>
      </c>
      <c r="F63" s="344">
        <v>495.03116</v>
      </c>
      <c r="G63" s="344">
        <v>495.03116</v>
      </c>
      <c r="H63" s="344">
        <v>495.03116</v>
      </c>
      <c r="I63" s="357">
        <f t="shared" si="1"/>
        <v>100</v>
      </c>
    </row>
    <row r="64" spans="1:9" ht="15.75" customHeight="1" x14ac:dyDescent="0.3">
      <c r="A64" s="343"/>
      <c r="B64" s="343"/>
      <c r="C64" s="247" t="s">
        <v>773</v>
      </c>
      <c r="D64" s="247"/>
      <c r="E64" s="248" t="s">
        <v>774</v>
      </c>
      <c r="F64" s="344"/>
      <c r="G64" s="344">
        <v>12</v>
      </c>
      <c r="H64" s="344">
        <v>12</v>
      </c>
      <c r="I64" s="357">
        <f t="shared" si="1"/>
        <v>100</v>
      </c>
    </row>
    <row r="65" spans="1:9" x14ac:dyDescent="0.3">
      <c r="A65" s="343"/>
      <c r="B65" s="343"/>
      <c r="C65" s="249"/>
      <c r="D65" s="247" t="s">
        <v>22</v>
      </c>
      <c r="E65" s="248" t="s">
        <v>21</v>
      </c>
      <c r="F65" s="344"/>
      <c r="G65" s="344">
        <v>12</v>
      </c>
      <c r="H65" s="344">
        <v>12</v>
      </c>
      <c r="I65" s="357">
        <f t="shared" si="1"/>
        <v>100</v>
      </c>
    </row>
    <row r="66" spans="1:9" x14ac:dyDescent="0.3">
      <c r="A66" s="21"/>
      <c r="B66" s="23" t="s">
        <v>534</v>
      </c>
      <c r="C66" s="22"/>
      <c r="D66" s="23"/>
      <c r="E66" s="28" t="s">
        <v>533</v>
      </c>
      <c r="F66" s="19">
        <f t="shared" ref="F66:H71" si="22">F67</f>
        <v>2.2999999999999998</v>
      </c>
      <c r="G66" s="19">
        <f t="shared" si="22"/>
        <v>2.2999999999999998</v>
      </c>
      <c r="H66" s="19">
        <f t="shared" si="22"/>
        <v>2.2999999999999998</v>
      </c>
      <c r="I66" s="362">
        <f t="shared" si="1"/>
        <v>100</v>
      </c>
    </row>
    <row r="67" spans="1:9" s="119" customFormat="1" ht="13.8" x14ac:dyDescent="0.3">
      <c r="A67" s="21"/>
      <c r="B67" s="23"/>
      <c r="C67" s="21" t="s">
        <v>36</v>
      </c>
      <c r="D67" s="117"/>
      <c r="E67" s="116" t="s">
        <v>35</v>
      </c>
      <c r="F67" s="19">
        <f t="shared" si="22"/>
        <v>2.2999999999999998</v>
      </c>
      <c r="G67" s="19">
        <f t="shared" si="22"/>
        <v>2.2999999999999998</v>
      </c>
      <c r="H67" s="19">
        <f t="shared" si="22"/>
        <v>2.2999999999999998</v>
      </c>
      <c r="I67" s="362">
        <f t="shared" si="1"/>
        <v>100</v>
      </c>
    </row>
    <row r="68" spans="1:9" ht="26.4" x14ac:dyDescent="0.3">
      <c r="A68" s="54"/>
      <c r="B68" s="34"/>
      <c r="C68" s="35" t="s">
        <v>34</v>
      </c>
      <c r="D68" s="34"/>
      <c r="E68" s="33" t="s">
        <v>103</v>
      </c>
      <c r="F68" s="32">
        <f t="shared" si="22"/>
        <v>2.2999999999999998</v>
      </c>
      <c r="G68" s="32">
        <f t="shared" si="22"/>
        <v>2.2999999999999998</v>
      </c>
      <c r="H68" s="32">
        <f t="shared" si="22"/>
        <v>2.2999999999999998</v>
      </c>
      <c r="I68" s="351">
        <f t="shared" si="1"/>
        <v>100</v>
      </c>
    </row>
    <row r="69" spans="1:9" ht="39.6" x14ac:dyDescent="0.3">
      <c r="A69" s="70"/>
      <c r="B69" s="68"/>
      <c r="C69" s="69" t="s">
        <v>499</v>
      </c>
      <c r="D69" s="68"/>
      <c r="E69" s="67" t="s">
        <v>532</v>
      </c>
      <c r="F69" s="66">
        <f t="shared" si="22"/>
        <v>2.2999999999999998</v>
      </c>
      <c r="G69" s="66">
        <f t="shared" si="22"/>
        <v>2.2999999999999998</v>
      </c>
      <c r="H69" s="66">
        <f t="shared" si="22"/>
        <v>2.2999999999999998</v>
      </c>
      <c r="I69" s="363">
        <f t="shared" si="1"/>
        <v>100</v>
      </c>
    </row>
    <row r="70" spans="1:9" ht="26.4" x14ac:dyDescent="0.3">
      <c r="A70" s="204"/>
      <c r="B70" s="195"/>
      <c r="C70" s="199" t="s">
        <v>497</v>
      </c>
      <c r="D70" s="195"/>
      <c r="E70" s="205" t="s">
        <v>531</v>
      </c>
      <c r="F70" s="196">
        <f t="shared" si="22"/>
        <v>2.2999999999999998</v>
      </c>
      <c r="G70" s="196">
        <f t="shared" si="22"/>
        <v>2.2999999999999998</v>
      </c>
      <c r="H70" s="196">
        <f t="shared" si="22"/>
        <v>2.2999999999999998</v>
      </c>
      <c r="I70" s="364">
        <f t="shared" si="1"/>
        <v>100</v>
      </c>
    </row>
    <row r="71" spans="1:9" ht="27" x14ac:dyDescent="0.3">
      <c r="A71" s="8"/>
      <c r="B71" s="8"/>
      <c r="C71" s="7" t="s">
        <v>530</v>
      </c>
      <c r="D71" s="7"/>
      <c r="E71" s="6" t="s">
        <v>529</v>
      </c>
      <c r="F71" s="79">
        <f t="shared" si="22"/>
        <v>2.2999999999999998</v>
      </c>
      <c r="G71" s="79">
        <f t="shared" si="22"/>
        <v>2.2999999999999998</v>
      </c>
      <c r="H71" s="79">
        <f t="shared" si="22"/>
        <v>2.2999999999999998</v>
      </c>
      <c r="I71" s="361">
        <f t="shared" si="1"/>
        <v>100</v>
      </c>
    </row>
    <row r="72" spans="1:9" x14ac:dyDescent="0.3">
      <c r="A72" s="8"/>
      <c r="B72" s="8"/>
      <c r="C72" s="7"/>
      <c r="D72" s="7" t="s">
        <v>12</v>
      </c>
      <c r="E72" s="6" t="s">
        <v>11</v>
      </c>
      <c r="F72" s="241">
        <v>2.2999999999999998</v>
      </c>
      <c r="G72" s="241">
        <v>2.2999999999999998</v>
      </c>
      <c r="H72" s="241">
        <v>2.2999999999999998</v>
      </c>
      <c r="I72" s="365">
        <f t="shared" si="1"/>
        <v>100</v>
      </c>
    </row>
    <row r="73" spans="1:9" x14ac:dyDescent="0.3">
      <c r="A73" s="21"/>
      <c r="B73" s="23" t="s">
        <v>20</v>
      </c>
      <c r="C73" s="22"/>
      <c r="D73" s="21"/>
      <c r="E73" s="20" t="s">
        <v>19</v>
      </c>
      <c r="F73" s="19">
        <f t="shared" ref="F73:H73" si="23">F74+F99</f>
        <v>47173.271730000008</v>
      </c>
      <c r="G73" s="19">
        <f t="shared" si="23"/>
        <v>47138.327130000005</v>
      </c>
      <c r="H73" s="19">
        <f t="shared" si="23"/>
        <v>46749.952490000003</v>
      </c>
      <c r="I73" s="362">
        <f t="shared" si="1"/>
        <v>99.176095836135786</v>
      </c>
    </row>
    <row r="74" spans="1:9" x14ac:dyDescent="0.3">
      <c r="A74" s="21"/>
      <c r="B74" s="23"/>
      <c r="C74" s="22" t="s">
        <v>36</v>
      </c>
      <c r="D74" s="21"/>
      <c r="E74" s="28" t="s">
        <v>35</v>
      </c>
      <c r="F74" s="19">
        <f>F75+F93</f>
        <v>4825.5717299999997</v>
      </c>
      <c r="G74" s="19">
        <f t="shared" ref="G74:H74" si="24">G75+G93</f>
        <v>4271.3066500000004</v>
      </c>
      <c r="H74" s="19">
        <f t="shared" si="24"/>
        <v>4270.8166499999998</v>
      </c>
      <c r="I74" s="362">
        <f t="shared" si="1"/>
        <v>99.988528100645723</v>
      </c>
    </row>
    <row r="75" spans="1:9" ht="26.4" x14ac:dyDescent="0.3">
      <c r="A75" s="54"/>
      <c r="B75" s="34"/>
      <c r="C75" s="35" t="s">
        <v>34</v>
      </c>
      <c r="D75" s="34"/>
      <c r="E75" s="33" t="s">
        <v>33</v>
      </c>
      <c r="F75" s="32">
        <f>F76+F82+F87</f>
        <v>3252.3</v>
      </c>
      <c r="G75" s="32">
        <f t="shared" ref="G75:H75" si="25">G76+G82+G87</f>
        <v>3474.9</v>
      </c>
      <c r="H75" s="32">
        <f t="shared" si="25"/>
        <v>3474.41</v>
      </c>
      <c r="I75" s="351">
        <f t="shared" si="1"/>
        <v>99.985898874787765</v>
      </c>
    </row>
    <row r="76" spans="1:9" ht="27" x14ac:dyDescent="0.3">
      <c r="A76" s="31"/>
      <c r="B76" s="31"/>
      <c r="C76" s="31" t="s">
        <v>528</v>
      </c>
      <c r="D76" s="31"/>
      <c r="E76" s="52" t="s">
        <v>527</v>
      </c>
      <c r="F76" s="29">
        <f>F77</f>
        <v>1841.1000000000001</v>
      </c>
      <c r="G76" s="29">
        <f t="shared" ref="G76:H76" si="26">G77</f>
        <v>1841.1000000000001</v>
      </c>
      <c r="H76" s="29">
        <f t="shared" si="26"/>
        <v>1840.6100000000001</v>
      </c>
      <c r="I76" s="352">
        <f t="shared" si="1"/>
        <v>99.973385476074085</v>
      </c>
    </row>
    <row r="77" spans="1:9" x14ac:dyDescent="0.3">
      <c r="A77" s="190"/>
      <c r="B77" s="190"/>
      <c r="C77" s="190" t="s">
        <v>526</v>
      </c>
      <c r="D77" s="190"/>
      <c r="E77" s="191" t="s">
        <v>525</v>
      </c>
      <c r="F77" s="192">
        <f>F78+F80</f>
        <v>1841.1000000000001</v>
      </c>
      <c r="G77" s="192">
        <f t="shared" ref="G77:H77" si="27">G78+G80</f>
        <v>1841.1000000000001</v>
      </c>
      <c r="H77" s="192">
        <f t="shared" si="27"/>
        <v>1840.6100000000001</v>
      </c>
      <c r="I77" s="353">
        <f t="shared" si="1"/>
        <v>99.973385476074085</v>
      </c>
    </row>
    <row r="78" spans="1:9" ht="53.4" x14ac:dyDescent="0.3">
      <c r="A78" s="7"/>
      <c r="B78" s="7"/>
      <c r="C78" s="7" t="s">
        <v>524</v>
      </c>
      <c r="D78" s="61"/>
      <c r="E78" s="6" t="s">
        <v>523</v>
      </c>
      <c r="F78" s="9">
        <f>F79</f>
        <v>1771.7</v>
      </c>
      <c r="G78" s="9">
        <f t="shared" ref="G78:H78" si="28">G79</f>
        <v>1771.7</v>
      </c>
      <c r="H78" s="9">
        <f t="shared" si="28"/>
        <v>1771.21</v>
      </c>
      <c r="I78" s="354">
        <f t="shared" si="1"/>
        <v>99.972342947451594</v>
      </c>
    </row>
    <row r="79" spans="1:9" x14ac:dyDescent="0.3">
      <c r="A79" s="7"/>
      <c r="B79" s="7"/>
      <c r="C79" s="7"/>
      <c r="D79" s="7" t="s">
        <v>12</v>
      </c>
      <c r="E79" s="6" t="s">
        <v>11</v>
      </c>
      <c r="F79" s="9">
        <v>1771.7</v>
      </c>
      <c r="G79" s="9">
        <v>1771.7</v>
      </c>
      <c r="H79" s="9">
        <v>1771.21</v>
      </c>
      <c r="I79" s="354">
        <f t="shared" si="1"/>
        <v>99.972342947451594</v>
      </c>
    </row>
    <row r="80" spans="1:9" ht="27" x14ac:dyDescent="0.3">
      <c r="A80" s="8"/>
      <c r="B80" s="8"/>
      <c r="C80" s="7" t="s">
        <v>696</v>
      </c>
      <c r="D80" s="7"/>
      <c r="E80" s="6" t="s">
        <v>522</v>
      </c>
      <c r="F80" s="9">
        <f>F81</f>
        <v>69.400000000000006</v>
      </c>
      <c r="G80" s="9">
        <f t="shared" ref="G80:H80" si="29">G81</f>
        <v>69.400000000000006</v>
      </c>
      <c r="H80" s="9">
        <f t="shared" si="29"/>
        <v>69.400000000000006</v>
      </c>
      <c r="I80" s="354">
        <f t="shared" ref="I80:I147" si="30">H80/G80*100</f>
        <v>100</v>
      </c>
    </row>
    <row r="81" spans="1:9" x14ac:dyDescent="0.3">
      <c r="A81" s="8"/>
      <c r="B81" s="8"/>
      <c r="C81" s="7"/>
      <c r="D81" s="7" t="s">
        <v>12</v>
      </c>
      <c r="E81" s="6" t="s">
        <v>11</v>
      </c>
      <c r="F81" s="9">
        <v>69.400000000000006</v>
      </c>
      <c r="G81" s="9">
        <v>69.400000000000006</v>
      </c>
      <c r="H81" s="9">
        <v>69.400000000000006</v>
      </c>
      <c r="I81" s="354">
        <f t="shared" si="30"/>
        <v>100</v>
      </c>
    </row>
    <row r="82" spans="1:9" ht="40.200000000000003" x14ac:dyDescent="0.3">
      <c r="A82" s="31"/>
      <c r="B82" s="31"/>
      <c r="C82" s="31" t="s">
        <v>499</v>
      </c>
      <c r="D82" s="31"/>
      <c r="E82" s="52" t="s">
        <v>521</v>
      </c>
      <c r="F82" s="29">
        <f t="shared" ref="F82:H83" si="31">F83</f>
        <v>1159.2</v>
      </c>
      <c r="G82" s="29">
        <f t="shared" si="31"/>
        <v>1381.8</v>
      </c>
      <c r="H82" s="29">
        <f t="shared" si="31"/>
        <v>1381.8</v>
      </c>
      <c r="I82" s="352">
        <f t="shared" si="30"/>
        <v>100</v>
      </c>
    </row>
    <row r="83" spans="1:9" ht="27" x14ac:dyDescent="0.3">
      <c r="A83" s="190"/>
      <c r="B83" s="190"/>
      <c r="C83" s="190" t="s">
        <v>497</v>
      </c>
      <c r="D83" s="197"/>
      <c r="E83" s="191" t="s">
        <v>520</v>
      </c>
      <c r="F83" s="192">
        <f t="shared" si="31"/>
        <v>1159.2</v>
      </c>
      <c r="G83" s="192">
        <f t="shared" si="31"/>
        <v>1381.8</v>
      </c>
      <c r="H83" s="192">
        <f t="shared" si="31"/>
        <v>1381.8</v>
      </c>
      <c r="I83" s="353">
        <f t="shared" si="30"/>
        <v>100</v>
      </c>
    </row>
    <row r="84" spans="1:9" x14ac:dyDescent="0.3">
      <c r="A84" s="7"/>
      <c r="B84" s="7"/>
      <c r="C84" s="7" t="s">
        <v>519</v>
      </c>
      <c r="D84" s="7"/>
      <c r="E84" s="6" t="s">
        <v>518</v>
      </c>
      <c r="F84" s="79">
        <f>SUM(F85+F86)</f>
        <v>1159.2</v>
      </c>
      <c r="G84" s="79">
        <f t="shared" ref="G84:H84" si="32">SUM(G85+G86)</f>
        <v>1381.8</v>
      </c>
      <c r="H84" s="79">
        <f t="shared" si="32"/>
        <v>1381.8</v>
      </c>
      <c r="I84" s="361">
        <f t="shared" si="30"/>
        <v>100</v>
      </c>
    </row>
    <row r="85" spans="1:9" ht="40.200000000000003" x14ac:dyDescent="0.3">
      <c r="A85" s="7"/>
      <c r="B85" s="7"/>
      <c r="C85" s="7"/>
      <c r="D85" s="7" t="s">
        <v>2</v>
      </c>
      <c r="E85" s="6" t="s">
        <v>1</v>
      </c>
      <c r="F85" s="79">
        <v>1145.8</v>
      </c>
      <c r="G85" s="79">
        <v>1319.827</v>
      </c>
      <c r="H85" s="79">
        <v>1319.827</v>
      </c>
      <c r="I85" s="361">
        <f t="shared" si="30"/>
        <v>100</v>
      </c>
    </row>
    <row r="86" spans="1:9" x14ac:dyDescent="0.3">
      <c r="A86" s="7"/>
      <c r="B86" s="7"/>
      <c r="C86" s="7"/>
      <c r="D86" s="7" t="s">
        <v>12</v>
      </c>
      <c r="E86" s="6" t="s">
        <v>11</v>
      </c>
      <c r="F86" s="79">
        <v>13.4000000000001</v>
      </c>
      <c r="G86" s="79">
        <v>61.972999999999999</v>
      </c>
      <c r="H86" s="79">
        <v>61.972999999999999</v>
      </c>
      <c r="I86" s="361">
        <f t="shared" si="30"/>
        <v>100</v>
      </c>
    </row>
    <row r="87" spans="1:9" ht="27" x14ac:dyDescent="0.3">
      <c r="A87" s="31"/>
      <c r="B87" s="31"/>
      <c r="C87" s="31" t="s">
        <v>517</v>
      </c>
      <c r="D87" s="31"/>
      <c r="E87" s="52" t="s">
        <v>516</v>
      </c>
      <c r="F87" s="29">
        <f>F88</f>
        <v>252</v>
      </c>
      <c r="G87" s="29">
        <f t="shared" ref="G87:H87" si="33">G88</f>
        <v>252</v>
      </c>
      <c r="H87" s="29">
        <f t="shared" si="33"/>
        <v>252</v>
      </c>
      <c r="I87" s="352">
        <f t="shared" si="30"/>
        <v>100</v>
      </c>
    </row>
    <row r="88" spans="1:9" ht="27" x14ac:dyDescent="0.3">
      <c r="A88" s="190"/>
      <c r="B88" s="190"/>
      <c r="C88" s="190" t="s">
        <v>515</v>
      </c>
      <c r="D88" s="197"/>
      <c r="E88" s="191" t="s">
        <v>514</v>
      </c>
      <c r="F88" s="192">
        <f>F89+F91</f>
        <v>252</v>
      </c>
      <c r="G88" s="192">
        <f t="shared" ref="G88:H88" si="34">G89+G91</f>
        <v>252</v>
      </c>
      <c r="H88" s="192">
        <f t="shared" si="34"/>
        <v>252</v>
      </c>
      <c r="I88" s="353">
        <f t="shared" si="30"/>
        <v>100</v>
      </c>
    </row>
    <row r="89" spans="1:9" x14ac:dyDescent="0.3">
      <c r="A89" s="8"/>
      <c r="B89" s="8"/>
      <c r="C89" s="7" t="s">
        <v>513</v>
      </c>
      <c r="D89" s="7"/>
      <c r="E89" s="64" t="s">
        <v>512</v>
      </c>
      <c r="F89" s="79">
        <f>F90</f>
        <v>133.30000000000001</v>
      </c>
      <c r="G89" s="79">
        <f t="shared" ref="G89:H89" si="35">G90</f>
        <v>133.30000000000001</v>
      </c>
      <c r="H89" s="79">
        <f t="shared" si="35"/>
        <v>133.30000000000001</v>
      </c>
      <c r="I89" s="361">
        <f t="shared" si="30"/>
        <v>100</v>
      </c>
    </row>
    <row r="90" spans="1:9" x14ac:dyDescent="0.3">
      <c r="A90" s="8"/>
      <c r="B90" s="8"/>
      <c r="C90" s="7"/>
      <c r="D90" s="7" t="s">
        <v>12</v>
      </c>
      <c r="E90" s="6" t="s">
        <v>11</v>
      </c>
      <c r="F90" s="79">
        <f>133.3</f>
        <v>133.30000000000001</v>
      </c>
      <c r="G90" s="79">
        <f t="shared" ref="G90:H90" si="36">133.3</f>
        <v>133.30000000000001</v>
      </c>
      <c r="H90" s="79">
        <f t="shared" si="36"/>
        <v>133.30000000000001</v>
      </c>
      <c r="I90" s="361">
        <f t="shared" si="30"/>
        <v>100</v>
      </c>
    </row>
    <row r="91" spans="1:9" ht="40.200000000000003" x14ac:dyDescent="0.3">
      <c r="A91" s="8"/>
      <c r="B91" s="8"/>
      <c r="C91" s="7" t="s">
        <v>511</v>
      </c>
      <c r="D91" s="7"/>
      <c r="E91" s="64" t="s">
        <v>592</v>
      </c>
      <c r="F91" s="79">
        <f>F92</f>
        <v>118.7</v>
      </c>
      <c r="G91" s="79">
        <f t="shared" ref="G91:H91" si="37">G92</f>
        <v>118.7</v>
      </c>
      <c r="H91" s="79">
        <f t="shared" si="37"/>
        <v>118.7</v>
      </c>
      <c r="I91" s="361">
        <f t="shared" si="30"/>
        <v>100</v>
      </c>
    </row>
    <row r="92" spans="1:9" x14ac:dyDescent="0.3">
      <c r="A92" s="8"/>
      <c r="B92" s="8"/>
      <c r="C92" s="7"/>
      <c r="D92" s="7" t="s">
        <v>12</v>
      </c>
      <c r="E92" s="6" t="s">
        <v>11</v>
      </c>
      <c r="F92" s="79">
        <f>34.7+84</f>
        <v>118.7</v>
      </c>
      <c r="G92" s="79">
        <f t="shared" ref="G92:H92" si="38">34.7+84</f>
        <v>118.7</v>
      </c>
      <c r="H92" s="79">
        <f t="shared" si="38"/>
        <v>118.7</v>
      </c>
      <c r="I92" s="361">
        <f t="shared" si="30"/>
        <v>100</v>
      </c>
    </row>
    <row r="93" spans="1:9" ht="26.4" x14ac:dyDescent="0.3">
      <c r="A93" s="54"/>
      <c r="B93" s="34"/>
      <c r="C93" s="35" t="s">
        <v>271</v>
      </c>
      <c r="D93" s="34"/>
      <c r="E93" s="33" t="s">
        <v>270</v>
      </c>
      <c r="F93" s="32">
        <f t="shared" ref="F93:H95" si="39">F94</f>
        <v>1573.2717299999999</v>
      </c>
      <c r="G93" s="32">
        <f t="shared" si="39"/>
        <v>796.4066499999999</v>
      </c>
      <c r="H93" s="32">
        <f t="shared" si="39"/>
        <v>796.4066499999999</v>
      </c>
      <c r="I93" s="351">
        <f t="shared" si="30"/>
        <v>100</v>
      </c>
    </row>
    <row r="94" spans="1:9" ht="27" x14ac:dyDescent="0.3">
      <c r="A94" s="190"/>
      <c r="B94" s="190"/>
      <c r="C94" s="190" t="s">
        <v>269</v>
      </c>
      <c r="D94" s="190"/>
      <c r="E94" s="191" t="s">
        <v>268</v>
      </c>
      <c r="F94" s="192">
        <f t="shared" si="39"/>
        <v>1573.2717299999999</v>
      </c>
      <c r="G94" s="192">
        <f t="shared" si="39"/>
        <v>796.4066499999999</v>
      </c>
      <c r="H94" s="192">
        <f t="shared" si="39"/>
        <v>796.4066499999999</v>
      </c>
      <c r="I94" s="353">
        <f t="shared" si="30"/>
        <v>100</v>
      </c>
    </row>
    <row r="95" spans="1:9" ht="27" x14ac:dyDescent="0.3">
      <c r="A95" s="7"/>
      <c r="B95" s="7"/>
      <c r="C95" s="7" t="s">
        <v>355</v>
      </c>
      <c r="D95" s="7"/>
      <c r="E95" s="6" t="s">
        <v>354</v>
      </c>
      <c r="F95" s="9">
        <f t="shared" si="39"/>
        <v>1573.2717299999999</v>
      </c>
      <c r="G95" s="9">
        <f t="shared" si="39"/>
        <v>796.4066499999999</v>
      </c>
      <c r="H95" s="9">
        <f t="shared" si="39"/>
        <v>796.4066499999999</v>
      </c>
      <c r="I95" s="354">
        <f t="shared" si="30"/>
        <v>100</v>
      </c>
    </row>
    <row r="96" spans="1:9" x14ac:dyDescent="0.3">
      <c r="A96" s="7"/>
      <c r="B96" s="7"/>
      <c r="C96" s="7"/>
      <c r="D96" s="7" t="s">
        <v>12</v>
      </c>
      <c r="E96" s="6" t="s">
        <v>11</v>
      </c>
      <c r="F96" s="9">
        <f>F97+F98</f>
        <v>1573.2717299999999</v>
      </c>
      <c r="G96" s="9">
        <f t="shared" ref="G96:H96" si="40">G97+G98</f>
        <v>796.4066499999999</v>
      </c>
      <c r="H96" s="9">
        <f t="shared" si="40"/>
        <v>796.4066499999999</v>
      </c>
      <c r="I96" s="354">
        <f t="shared" si="30"/>
        <v>100</v>
      </c>
    </row>
    <row r="97" spans="1:9" x14ac:dyDescent="0.3">
      <c r="A97" s="7"/>
      <c r="B97" s="7"/>
      <c r="C97" s="7"/>
      <c r="D97" s="7"/>
      <c r="E97" s="10" t="s">
        <v>108</v>
      </c>
      <c r="F97" s="9">
        <v>1542.1069</v>
      </c>
      <c r="G97" s="9">
        <v>780.63577999999995</v>
      </c>
      <c r="H97" s="9">
        <v>780.63577999999995</v>
      </c>
      <c r="I97" s="354">
        <f t="shared" si="30"/>
        <v>100</v>
      </c>
    </row>
    <row r="98" spans="1:9" x14ac:dyDescent="0.3">
      <c r="A98" s="7"/>
      <c r="B98" s="7"/>
      <c r="C98" s="7"/>
      <c r="D98" s="7"/>
      <c r="E98" s="6" t="s">
        <v>106</v>
      </c>
      <c r="F98" s="9">
        <v>31.164829999999998</v>
      </c>
      <c r="G98" s="9">
        <v>15.77087</v>
      </c>
      <c r="H98" s="9">
        <v>15.77087</v>
      </c>
      <c r="I98" s="354">
        <f t="shared" si="30"/>
        <v>100</v>
      </c>
    </row>
    <row r="99" spans="1:9" x14ac:dyDescent="0.3">
      <c r="A99" s="18"/>
      <c r="B99" s="18"/>
      <c r="C99" s="18" t="s">
        <v>18</v>
      </c>
      <c r="D99" s="18"/>
      <c r="E99" s="17" t="s">
        <v>17</v>
      </c>
      <c r="F99" s="16">
        <f t="shared" ref="F99:H99" si="41">F100</f>
        <v>42347.700000000004</v>
      </c>
      <c r="G99" s="16">
        <f t="shared" si="41"/>
        <v>42867.020480000007</v>
      </c>
      <c r="H99" s="16">
        <f t="shared" si="41"/>
        <v>42479.135840000003</v>
      </c>
      <c r="I99" s="366">
        <f t="shared" si="30"/>
        <v>99.095144389190821</v>
      </c>
    </row>
    <row r="100" spans="1:9" ht="27" x14ac:dyDescent="0.3">
      <c r="A100" s="15"/>
      <c r="B100" s="15"/>
      <c r="C100" s="15" t="s">
        <v>16</v>
      </c>
      <c r="D100" s="15"/>
      <c r="E100" s="14" t="s">
        <v>15</v>
      </c>
      <c r="F100" s="13">
        <f t="shared" ref="F100" si="42">F101+F107+F109+F111+F105+F113+F115</f>
        <v>42347.700000000004</v>
      </c>
      <c r="G100" s="13">
        <f>G101+G107+G109+G111+G105+G113+G115+G117</f>
        <v>42867.020480000007</v>
      </c>
      <c r="H100" s="13">
        <f>H101+H107+H109+H111+H105+H113+H115+H117</f>
        <v>42479.135840000003</v>
      </c>
      <c r="I100" s="367">
        <f t="shared" si="30"/>
        <v>99.095144389190821</v>
      </c>
    </row>
    <row r="101" spans="1:9" ht="27" x14ac:dyDescent="0.3">
      <c r="A101" s="8"/>
      <c r="B101" s="8"/>
      <c r="C101" s="7" t="s">
        <v>509</v>
      </c>
      <c r="D101" s="7"/>
      <c r="E101" s="64" t="s">
        <v>508</v>
      </c>
      <c r="F101" s="9">
        <f t="shared" ref="F101:H101" si="43">F102+F103+F104</f>
        <v>39910.300000000003</v>
      </c>
      <c r="G101" s="9">
        <f t="shared" si="43"/>
        <v>39910.300000000003</v>
      </c>
      <c r="H101" s="9">
        <f t="shared" si="43"/>
        <v>39522.663079999998</v>
      </c>
      <c r="I101" s="354">
        <f t="shared" si="30"/>
        <v>99.028729626186717</v>
      </c>
    </row>
    <row r="102" spans="1:9" ht="40.200000000000003" x14ac:dyDescent="0.3">
      <c r="A102" s="8"/>
      <c r="B102" s="8"/>
      <c r="C102" s="7"/>
      <c r="D102" s="7" t="s">
        <v>2</v>
      </c>
      <c r="E102" s="6" t="s">
        <v>1</v>
      </c>
      <c r="F102" s="9">
        <f>18278.1+96.4-118.4-64.4</f>
        <v>18191.699999999997</v>
      </c>
      <c r="G102" s="9">
        <v>18783.277900000001</v>
      </c>
      <c r="H102" s="9">
        <v>18521.600569999999</v>
      </c>
      <c r="I102" s="354">
        <f t="shared" si="30"/>
        <v>98.606860147663568</v>
      </c>
    </row>
    <row r="103" spans="1:9" x14ac:dyDescent="0.3">
      <c r="A103" s="8"/>
      <c r="B103" s="8"/>
      <c r="C103" s="7"/>
      <c r="D103" s="7" t="s">
        <v>12</v>
      </c>
      <c r="E103" s="6" t="s">
        <v>11</v>
      </c>
      <c r="F103" s="9">
        <v>21290.3</v>
      </c>
      <c r="G103" s="9">
        <v>20687.069100000001</v>
      </c>
      <c r="H103" s="9">
        <v>20561.109509999998</v>
      </c>
      <c r="I103" s="354">
        <f t="shared" si="30"/>
        <v>99.391119208858825</v>
      </c>
    </row>
    <row r="104" spans="1:9" x14ac:dyDescent="0.3">
      <c r="A104" s="8"/>
      <c r="B104" s="8"/>
      <c r="C104" s="7"/>
      <c r="D104" s="7" t="s">
        <v>22</v>
      </c>
      <c r="E104" s="6" t="s">
        <v>21</v>
      </c>
      <c r="F104" s="9">
        <v>428.3</v>
      </c>
      <c r="G104" s="9">
        <v>439.95299999999997</v>
      </c>
      <c r="H104" s="9">
        <v>439.95299999999997</v>
      </c>
      <c r="I104" s="354">
        <f t="shared" si="30"/>
        <v>100</v>
      </c>
    </row>
    <row r="105" spans="1:9" x14ac:dyDescent="0.3">
      <c r="A105" s="8"/>
      <c r="B105" s="8"/>
      <c r="C105" s="55" t="s">
        <v>507</v>
      </c>
      <c r="D105" s="55"/>
      <c r="E105" s="10" t="s">
        <v>506</v>
      </c>
      <c r="F105" s="9">
        <f>F106</f>
        <v>1109.4000000000001</v>
      </c>
      <c r="G105" s="9">
        <f t="shared" ref="G105:H105" si="44">G106</f>
        <v>1109.4000000000001</v>
      </c>
      <c r="H105" s="9">
        <f t="shared" si="44"/>
        <v>1109.4000000000001</v>
      </c>
      <c r="I105" s="354">
        <f t="shared" si="30"/>
        <v>100</v>
      </c>
    </row>
    <row r="106" spans="1:9" x14ac:dyDescent="0.3">
      <c r="A106" s="8"/>
      <c r="B106" s="8"/>
      <c r="C106" s="55"/>
      <c r="D106" s="55" t="s">
        <v>12</v>
      </c>
      <c r="E106" s="10" t="s">
        <v>11</v>
      </c>
      <c r="F106" s="9">
        <f>926.6+118.4+64.4</f>
        <v>1109.4000000000001</v>
      </c>
      <c r="G106" s="9">
        <f t="shared" ref="G106:H106" si="45">926.6+118.4+64.4</f>
        <v>1109.4000000000001</v>
      </c>
      <c r="H106" s="9">
        <f t="shared" si="45"/>
        <v>1109.4000000000001</v>
      </c>
      <c r="I106" s="354">
        <f t="shared" si="30"/>
        <v>100</v>
      </c>
    </row>
    <row r="107" spans="1:9" x14ac:dyDescent="0.3">
      <c r="A107" s="251"/>
      <c r="B107" s="251"/>
      <c r="C107" s="247" t="s">
        <v>773</v>
      </c>
      <c r="D107" s="247"/>
      <c r="E107" s="248" t="s">
        <v>774</v>
      </c>
      <c r="F107" s="252">
        <f>F108</f>
        <v>305.89999999999998</v>
      </c>
      <c r="G107" s="252">
        <f t="shared" ref="G107:H107" si="46">G108</f>
        <v>305.89999999999998</v>
      </c>
      <c r="H107" s="252">
        <f t="shared" si="46"/>
        <v>305.74211000000003</v>
      </c>
      <c r="I107" s="368">
        <f t="shared" si="30"/>
        <v>99.948385093167715</v>
      </c>
    </row>
    <row r="108" spans="1:9" x14ac:dyDescent="0.3">
      <c r="A108" s="251"/>
      <c r="B108" s="251"/>
      <c r="C108" s="249"/>
      <c r="D108" s="247" t="s">
        <v>22</v>
      </c>
      <c r="E108" s="250" t="s">
        <v>21</v>
      </c>
      <c r="F108" s="252">
        <v>305.89999999999998</v>
      </c>
      <c r="G108" s="252">
        <v>305.89999999999998</v>
      </c>
      <c r="H108" s="252">
        <v>305.74211000000003</v>
      </c>
      <c r="I108" s="368">
        <f t="shared" si="30"/>
        <v>99.948385093167715</v>
      </c>
    </row>
    <row r="109" spans="1:9" ht="27" x14ac:dyDescent="0.3">
      <c r="A109" s="8"/>
      <c r="B109" s="8"/>
      <c r="C109" s="7" t="s">
        <v>43</v>
      </c>
      <c r="D109" s="7"/>
      <c r="E109" s="6" t="s">
        <v>42</v>
      </c>
      <c r="F109" s="9">
        <f>F110</f>
        <v>300</v>
      </c>
      <c r="G109" s="9">
        <f t="shared" ref="G109:H109" si="47">G110</f>
        <v>300</v>
      </c>
      <c r="H109" s="9">
        <f t="shared" si="47"/>
        <v>299.91016999999999</v>
      </c>
      <c r="I109" s="354">
        <f t="shared" si="30"/>
        <v>99.970056666666665</v>
      </c>
    </row>
    <row r="110" spans="1:9" x14ac:dyDescent="0.3">
      <c r="A110" s="8"/>
      <c r="B110" s="8"/>
      <c r="C110" s="7"/>
      <c r="D110" s="7" t="s">
        <v>12</v>
      </c>
      <c r="E110" s="6" t="s">
        <v>11</v>
      </c>
      <c r="F110" s="9">
        <v>300</v>
      </c>
      <c r="G110" s="9">
        <v>300</v>
      </c>
      <c r="H110" s="9">
        <v>299.91016999999999</v>
      </c>
      <c r="I110" s="354">
        <f t="shared" si="30"/>
        <v>99.970056666666665</v>
      </c>
    </row>
    <row r="111" spans="1:9" x14ac:dyDescent="0.3">
      <c r="A111" s="8"/>
      <c r="B111" s="8"/>
      <c r="C111" s="7" t="s">
        <v>505</v>
      </c>
      <c r="D111" s="7"/>
      <c r="E111" s="6" t="s">
        <v>504</v>
      </c>
      <c r="F111" s="5">
        <f>F112</f>
        <v>310</v>
      </c>
      <c r="G111" s="5">
        <f t="shared" ref="G111:H111" si="48">G112</f>
        <v>310</v>
      </c>
      <c r="H111" s="5">
        <f t="shared" si="48"/>
        <v>310</v>
      </c>
      <c r="I111" s="359">
        <f t="shared" si="30"/>
        <v>100</v>
      </c>
    </row>
    <row r="112" spans="1:9" x14ac:dyDescent="0.3">
      <c r="A112" s="8"/>
      <c r="B112" s="8"/>
      <c r="C112" s="7"/>
      <c r="D112" s="7" t="s">
        <v>22</v>
      </c>
      <c r="E112" s="6" t="s">
        <v>21</v>
      </c>
      <c r="F112" s="5">
        <v>310</v>
      </c>
      <c r="G112" s="5">
        <v>310</v>
      </c>
      <c r="H112" s="5">
        <v>310</v>
      </c>
      <c r="I112" s="359">
        <f t="shared" si="30"/>
        <v>100</v>
      </c>
    </row>
    <row r="113" spans="1:9" ht="27" x14ac:dyDescent="0.3">
      <c r="A113" s="8"/>
      <c r="B113" s="8"/>
      <c r="C113" s="7" t="s">
        <v>586</v>
      </c>
      <c r="D113" s="7"/>
      <c r="E113" s="114" t="s">
        <v>510</v>
      </c>
      <c r="F113" s="5">
        <f>F114</f>
        <v>300</v>
      </c>
      <c r="G113" s="5">
        <f t="shared" ref="G113:H113" si="49">G114</f>
        <v>300</v>
      </c>
      <c r="H113" s="5">
        <f t="shared" si="49"/>
        <v>300</v>
      </c>
      <c r="I113" s="359">
        <f t="shared" si="30"/>
        <v>100</v>
      </c>
    </row>
    <row r="114" spans="1:9" ht="27" x14ac:dyDescent="0.3">
      <c r="A114" s="8"/>
      <c r="B114" s="8"/>
      <c r="C114" s="7"/>
      <c r="D114" s="7" t="s">
        <v>57</v>
      </c>
      <c r="E114" s="6" t="s">
        <v>56</v>
      </c>
      <c r="F114" s="5">
        <v>300</v>
      </c>
      <c r="G114" s="5">
        <v>300</v>
      </c>
      <c r="H114" s="5">
        <v>300</v>
      </c>
      <c r="I114" s="359">
        <f t="shared" si="30"/>
        <v>100</v>
      </c>
    </row>
    <row r="115" spans="1:9" ht="26.4" x14ac:dyDescent="0.3">
      <c r="A115" s="8"/>
      <c r="B115" s="8"/>
      <c r="C115" s="75" t="s">
        <v>748</v>
      </c>
      <c r="D115" s="55"/>
      <c r="E115" s="99" t="s">
        <v>749</v>
      </c>
      <c r="F115" s="5">
        <f>F116</f>
        <v>112.1</v>
      </c>
      <c r="G115" s="5">
        <v>0</v>
      </c>
      <c r="H115" s="5">
        <v>0</v>
      </c>
      <c r="I115" s="359"/>
    </row>
    <row r="116" spans="1:9" ht="26.4" x14ac:dyDescent="0.3">
      <c r="A116" s="8"/>
      <c r="B116" s="8"/>
      <c r="C116" s="23"/>
      <c r="D116" s="7" t="s">
        <v>57</v>
      </c>
      <c r="E116" s="10" t="s">
        <v>56</v>
      </c>
      <c r="F116" s="5">
        <v>112.1</v>
      </c>
      <c r="G116" s="5">
        <v>0</v>
      </c>
      <c r="H116" s="5">
        <v>0</v>
      </c>
      <c r="I116" s="359"/>
    </row>
    <row r="117" spans="1:9" x14ac:dyDescent="0.3">
      <c r="A117" s="343"/>
      <c r="B117" s="343"/>
      <c r="C117" s="7" t="s">
        <v>24</v>
      </c>
      <c r="D117" s="7"/>
      <c r="E117" s="6" t="s">
        <v>23</v>
      </c>
      <c r="F117" s="392"/>
      <c r="G117" s="392">
        <v>631.42048</v>
      </c>
      <c r="H117" s="392">
        <v>631.42048</v>
      </c>
      <c r="I117" s="359">
        <f t="shared" si="30"/>
        <v>100</v>
      </c>
    </row>
    <row r="118" spans="1:9" x14ac:dyDescent="0.3">
      <c r="A118" s="343"/>
      <c r="B118" s="343"/>
      <c r="C118" s="342"/>
      <c r="D118" s="7" t="s">
        <v>12</v>
      </c>
      <c r="E118" s="6" t="s">
        <v>11</v>
      </c>
      <c r="F118" s="392"/>
      <c r="G118" s="392">
        <v>182.62047999999999</v>
      </c>
      <c r="H118" s="392">
        <v>182.62047999999999</v>
      </c>
      <c r="I118" s="359">
        <f t="shared" si="30"/>
        <v>100</v>
      </c>
    </row>
    <row r="119" spans="1:9" x14ac:dyDescent="0.3">
      <c r="A119" s="343"/>
      <c r="B119" s="343"/>
      <c r="C119" s="7"/>
      <c r="D119" s="342" t="s">
        <v>79</v>
      </c>
      <c r="E119" s="391" t="s">
        <v>78</v>
      </c>
      <c r="F119" s="392"/>
      <c r="G119" s="392">
        <v>448.8</v>
      </c>
      <c r="H119" s="392">
        <v>448.8</v>
      </c>
      <c r="I119" s="359">
        <f t="shared" si="30"/>
        <v>100</v>
      </c>
    </row>
    <row r="120" spans="1:9" x14ac:dyDescent="0.3">
      <c r="A120" s="21"/>
      <c r="B120" s="23" t="s">
        <v>503</v>
      </c>
      <c r="C120" s="22"/>
      <c r="D120" s="23"/>
      <c r="E120" s="20" t="s">
        <v>502</v>
      </c>
      <c r="F120" s="19">
        <f t="shared" ref="F120:H125" si="50">F121</f>
        <v>1805.3</v>
      </c>
      <c r="G120" s="19">
        <f t="shared" si="50"/>
        <v>1895.9</v>
      </c>
      <c r="H120" s="19">
        <f t="shared" si="50"/>
        <v>1895.9</v>
      </c>
      <c r="I120" s="362">
        <f t="shared" si="30"/>
        <v>100</v>
      </c>
    </row>
    <row r="121" spans="1:9" x14ac:dyDescent="0.3">
      <c r="A121" s="21"/>
      <c r="B121" s="23" t="s">
        <v>501</v>
      </c>
      <c r="C121" s="22"/>
      <c r="D121" s="23"/>
      <c r="E121" s="20" t="s">
        <v>500</v>
      </c>
      <c r="F121" s="19">
        <f t="shared" si="50"/>
        <v>1805.3</v>
      </c>
      <c r="G121" s="19">
        <f t="shared" si="50"/>
        <v>1895.9</v>
      </c>
      <c r="H121" s="19">
        <f t="shared" si="50"/>
        <v>1895.9</v>
      </c>
      <c r="I121" s="362">
        <f t="shared" si="30"/>
        <v>100</v>
      </c>
    </row>
    <row r="122" spans="1:9" x14ac:dyDescent="0.3">
      <c r="A122" s="21"/>
      <c r="B122" s="23"/>
      <c r="C122" s="117" t="s">
        <v>36</v>
      </c>
      <c r="D122" s="117"/>
      <c r="E122" s="116" t="s">
        <v>35</v>
      </c>
      <c r="F122" s="19">
        <f t="shared" si="50"/>
        <v>1805.3</v>
      </c>
      <c r="G122" s="19">
        <f t="shared" si="50"/>
        <v>1895.9</v>
      </c>
      <c r="H122" s="19">
        <f t="shared" si="50"/>
        <v>1895.9</v>
      </c>
      <c r="I122" s="362">
        <f t="shared" si="30"/>
        <v>100</v>
      </c>
    </row>
    <row r="123" spans="1:9" ht="26.4" x14ac:dyDescent="0.3">
      <c r="A123" s="54"/>
      <c r="B123" s="34"/>
      <c r="C123" s="35" t="s">
        <v>34</v>
      </c>
      <c r="D123" s="34"/>
      <c r="E123" s="33" t="s">
        <v>103</v>
      </c>
      <c r="F123" s="32">
        <f t="shared" si="50"/>
        <v>1805.3</v>
      </c>
      <c r="G123" s="32">
        <f t="shared" si="50"/>
        <v>1895.9</v>
      </c>
      <c r="H123" s="32">
        <f t="shared" si="50"/>
        <v>1895.9</v>
      </c>
      <c r="I123" s="351">
        <f t="shared" si="30"/>
        <v>100</v>
      </c>
    </row>
    <row r="124" spans="1:9" ht="39.6" x14ac:dyDescent="0.3">
      <c r="A124" s="70"/>
      <c r="B124" s="68"/>
      <c r="C124" s="69" t="s">
        <v>499</v>
      </c>
      <c r="D124" s="68"/>
      <c r="E124" s="67" t="s">
        <v>498</v>
      </c>
      <c r="F124" s="66">
        <f t="shared" si="50"/>
        <v>1805.3</v>
      </c>
      <c r="G124" s="66">
        <f t="shared" si="50"/>
        <v>1895.9</v>
      </c>
      <c r="H124" s="66">
        <f t="shared" si="50"/>
        <v>1895.9</v>
      </c>
      <c r="I124" s="363">
        <f t="shared" si="30"/>
        <v>100</v>
      </c>
    </row>
    <row r="125" spans="1:9" ht="26.4" x14ac:dyDescent="0.3">
      <c r="A125" s="204"/>
      <c r="B125" s="195"/>
      <c r="C125" s="199" t="s">
        <v>497</v>
      </c>
      <c r="D125" s="195"/>
      <c r="E125" s="205" t="s">
        <v>496</v>
      </c>
      <c r="F125" s="196">
        <f t="shared" si="50"/>
        <v>1805.3</v>
      </c>
      <c r="G125" s="196">
        <f t="shared" si="50"/>
        <v>1895.9</v>
      </c>
      <c r="H125" s="196">
        <f t="shared" si="50"/>
        <v>1895.9</v>
      </c>
      <c r="I125" s="364">
        <f t="shared" si="30"/>
        <v>100</v>
      </c>
    </row>
    <row r="126" spans="1:9" ht="27" x14ac:dyDescent="0.3">
      <c r="A126" s="7"/>
      <c r="B126" s="7"/>
      <c r="C126" s="7" t="s">
        <v>495</v>
      </c>
      <c r="D126" s="7"/>
      <c r="E126" s="6" t="s">
        <v>822</v>
      </c>
      <c r="F126" s="79">
        <f>SUM(F127+F128)</f>
        <v>1805.3</v>
      </c>
      <c r="G126" s="79">
        <f t="shared" ref="G126:H126" si="51">SUM(G127+G128)</f>
        <v>1895.9</v>
      </c>
      <c r="H126" s="79">
        <f t="shared" si="51"/>
        <v>1895.9</v>
      </c>
      <c r="I126" s="361">
        <f t="shared" si="30"/>
        <v>100</v>
      </c>
    </row>
    <row r="127" spans="1:9" ht="40.200000000000003" x14ac:dyDescent="0.3">
      <c r="A127" s="7"/>
      <c r="B127" s="7"/>
      <c r="C127" s="7"/>
      <c r="D127" s="7" t="s">
        <v>2</v>
      </c>
      <c r="E127" s="6" t="s">
        <v>1</v>
      </c>
      <c r="F127" s="79">
        <v>1719.8</v>
      </c>
      <c r="G127" s="79">
        <v>1797.7</v>
      </c>
      <c r="H127" s="79">
        <v>1797.7</v>
      </c>
      <c r="I127" s="361">
        <f t="shared" si="30"/>
        <v>100</v>
      </c>
    </row>
    <row r="128" spans="1:9" x14ac:dyDescent="0.3">
      <c r="A128" s="7"/>
      <c r="B128" s="7"/>
      <c r="C128" s="7"/>
      <c r="D128" s="7" t="s">
        <v>12</v>
      </c>
      <c r="E128" s="6" t="s">
        <v>11</v>
      </c>
      <c r="F128" s="241">
        <f>131.1-45.6</f>
        <v>85.5</v>
      </c>
      <c r="G128" s="241">
        <v>98.2</v>
      </c>
      <c r="H128" s="241">
        <v>98.2</v>
      </c>
      <c r="I128" s="365">
        <f t="shared" si="30"/>
        <v>100</v>
      </c>
    </row>
    <row r="129" spans="1:9" x14ac:dyDescent="0.3">
      <c r="A129" s="21"/>
      <c r="B129" s="23" t="s">
        <v>494</v>
      </c>
      <c r="C129" s="22"/>
      <c r="D129" s="21"/>
      <c r="E129" s="20" t="s">
        <v>493</v>
      </c>
      <c r="F129" s="19">
        <f t="shared" ref="F129:H129" si="52">F130+F144+F157</f>
        <v>28067.8</v>
      </c>
      <c r="G129" s="19">
        <f t="shared" si="52"/>
        <v>28067.8</v>
      </c>
      <c r="H129" s="19">
        <f t="shared" si="52"/>
        <v>28045.917600000001</v>
      </c>
      <c r="I129" s="362">
        <f t="shared" si="30"/>
        <v>99.922037352410953</v>
      </c>
    </row>
    <row r="130" spans="1:9" ht="26.4" x14ac:dyDescent="0.3">
      <c r="A130" s="21"/>
      <c r="B130" s="23" t="s">
        <v>492</v>
      </c>
      <c r="C130" s="22"/>
      <c r="D130" s="23"/>
      <c r="E130" s="28" t="s">
        <v>491</v>
      </c>
      <c r="F130" s="19">
        <f t="shared" ref="F130:H132" si="53">F131</f>
        <v>22997.392199999998</v>
      </c>
      <c r="G130" s="19">
        <f t="shared" si="53"/>
        <v>22997.392200000002</v>
      </c>
      <c r="H130" s="19">
        <f t="shared" si="53"/>
        <v>22997.392200000002</v>
      </c>
      <c r="I130" s="362">
        <f t="shared" si="30"/>
        <v>100</v>
      </c>
    </row>
    <row r="131" spans="1:9" x14ac:dyDescent="0.3">
      <c r="A131" s="21"/>
      <c r="B131" s="23"/>
      <c r="C131" s="22" t="s">
        <v>36</v>
      </c>
      <c r="D131" s="21"/>
      <c r="E131" s="28" t="s">
        <v>35</v>
      </c>
      <c r="F131" s="19">
        <f t="shared" si="53"/>
        <v>22997.392199999998</v>
      </c>
      <c r="G131" s="19">
        <f t="shared" si="53"/>
        <v>22997.392200000002</v>
      </c>
      <c r="H131" s="19">
        <f t="shared" si="53"/>
        <v>22997.392200000002</v>
      </c>
      <c r="I131" s="362">
        <f t="shared" si="30"/>
        <v>100</v>
      </c>
    </row>
    <row r="132" spans="1:9" ht="39.6" x14ac:dyDescent="0.3">
      <c r="A132" s="54"/>
      <c r="B132" s="34"/>
      <c r="C132" s="35" t="s">
        <v>454</v>
      </c>
      <c r="D132" s="34"/>
      <c r="E132" s="33" t="s">
        <v>490</v>
      </c>
      <c r="F132" s="32">
        <f t="shared" si="53"/>
        <v>22997.392199999998</v>
      </c>
      <c r="G132" s="32">
        <f t="shared" si="53"/>
        <v>22997.392200000002</v>
      </c>
      <c r="H132" s="32">
        <f t="shared" si="53"/>
        <v>22997.392200000002</v>
      </c>
      <c r="I132" s="351">
        <f t="shared" si="30"/>
        <v>100</v>
      </c>
    </row>
    <row r="133" spans="1:9" ht="27" x14ac:dyDescent="0.3">
      <c r="A133" s="190"/>
      <c r="B133" s="190"/>
      <c r="C133" s="190" t="s">
        <v>489</v>
      </c>
      <c r="D133" s="190"/>
      <c r="E133" s="201" t="s">
        <v>488</v>
      </c>
      <c r="F133" s="192">
        <f t="shared" ref="F133:H133" si="54">F134+F136+F140+F138</f>
        <v>22997.392199999998</v>
      </c>
      <c r="G133" s="192">
        <f t="shared" si="54"/>
        <v>22997.392200000002</v>
      </c>
      <c r="H133" s="192">
        <f t="shared" si="54"/>
        <v>22997.392200000002</v>
      </c>
      <c r="I133" s="353">
        <f t="shared" si="30"/>
        <v>100</v>
      </c>
    </row>
    <row r="134" spans="1:9" x14ac:dyDescent="0.3">
      <c r="A134" s="7"/>
      <c r="B134" s="7"/>
      <c r="C134" s="7" t="s">
        <v>487</v>
      </c>
      <c r="D134" s="7"/>
      <c r="E134" s="10" t="s">
        <v>486</v>
      </c>
      <c r="F134" s="9">
        <f>SUM(F135)</f>
        <v>36.799999999999997</v>
      </c>
      <c r="G134" s="9">
        <f t="shared" ref="G134:H134" si="55">SUM(G135)</f>
        <v>38.6</v>
      </c>
      <c r="H134" s="9">
        <f t="shared" si="55"/>
        <v>38.6</v>
      </c>
      <c r="I134" s="354">
        <f t="shared" si="30"/>
        <v>100</v>
      </c>
    </row>
    <row r="135" spans="1:9" x14ac:dyDescent="0.3">
      <c r="A135" s="7"/>
      <c r="B135" s="7"/>
      <c r="C135" s="7"/>
      <c r="D135" s="7" t="s">
        <v>12</v>
      </c>
      <c r="E135" s="6" t="s">
        <v>11</v>
      </c>
      <c r="F135" s="9">
        <v>36.799999999999997</v>
      </c>
      <c r="G135" s="9">
        <v>38.6</v>
      </c>
      <c r="H135" s="9">
        <v>38.6</v>
      </c>
      <c r="I135" s="354">
        <f t="shared" si="30"/>
        <v>100</v>
      </c>
    </row>
    <row r="136" spans="1:9" ht="40.200000000000003" x14ac:dyDescent="0.3">
      <c r="A136" s="7"/>
      <c r="B136" s="7"/>
      <c r="C136" s="7" t="s">
        <v>485</v>
      </c>
      <c r="D136" s="7"/>
      <c r="E136" s="6" t="s">
        <v>564</v>
      </c>
      <c r="F136" s="9">
        <f>F137</f>
        <v>148.09220000000002</v>
      </c>
      <c r="G136" s="9">
        <f t="shared" ref="G136:H136" si="56">G137</f>
        <v>107.4</v>
      </c>
      <c r="H136" s="9">
        <f t="shared" si="56"/>
        <v>107.4</v>
      </c>
      <c r="I136" s="354">
        <f t="shared" si="30"/>
        <v>100</v>
      </c>
    </row>
    <row r="137" spans="1:9" x14ac:dyDescent="0.3">
      <c r="A137" s="7"/>
      <c r="B137" s="7"/>
      <c r="C137" s="7"/>
      <c r="D137" s="7" t="s">
        <v>12</v>
      </c>
      <c r="E137" s="6" t="s">
        <v>11</v>
      </c>
      <c r="F137" s="9">
        <v>148.09220000000002</v>
      </c>
      <c r="G137" s="9">
        <v>107.4</v>
      </c>
      <c r="H137" s="9">
        <v>107.4</v>
      </c>
      <c r="I137" s="354">
        <f t="shared" si="30"/>
        <v>100</v>
      </c>
    </row>
    <row r="138" spans="1:9" ht="27" x14ac:dyDescent="0.3">
      <c r="A138" s="7"/>
      <c r="B138" s="7"/>
      <c r="C138" s="7" t="s">
        <v>565</v>
      </c>
      <c r="D138" s="7"/>
      <c r="E138" s="6" t="s">
        <v>566</v>
      </c>
      <c r="F138" s="9">
        <f>F139</f>
        <v>618.9</v>
      </c>
      <c r="G138" s="9">
        <f t="shared" ref="G138:H138" si="57">G139</f>
        <v>657.79219999999998</v>
      </c>
      <c r="H138" s="9">
        <f t="shared" si="57"/>
        <v>657.79219999999998</v>
      </c>
      <c r="I138" s="354">
        <f t="shared" si="30"/>
        <v>100</v>
      </c>
    </row>
    <row r="139" spans="1:9" x14ac:dyDescent="0.3">
      <c r="A139" s="7"/>
      <c r="B139" s="7"/>
      <c r="C139" s="7"/>
      <c r="D139" s="7" t="s">
        <v>12</v>
      </c>
      <c r="E139" s="6" t="s">
        <v>11</v>
      </c>
      <c r="F139" s="9">
        <v>618.9</v>
      </c>
      <c r="G139" s="9">
        <v>657.79219999999998</v>
      </c>
      <c r="H139" s="9">
        <v>657.79219999999998</v>
      </c>
      <c r="I139" s="354">
        <f t="shared" si="30"/>
        <v>100</v>
      </c>
    </row>
    <row r="140" spans="1:9" x14ac:dyDescent="0.3">
      <c r="A140" s="7"/>
      <c r="B140" s="7"/>
      <c r="C140" s="7" t="s">
        <v>484</v>
      </c>
      <c r="D140" s="7"/>
      <c r="E140" s="113" t="s">
        <v>483</v>
      </c>
      <c r="F140" s="9">
        <f t="shared" ref="F140" si="58">F141+F142</f>
        <v>22193.599999999999</v>
      </c>
      <c r="G140" s="9">
        <f>G141+G142+G143</f>
        <v>22193.600000000002</v>
      </c>
      <c r="H140" s="9">
        <f>H141+H142+H143</f>
        <v>22193.600000000002</v>
      </c>
      <c r="I140" s="354">
        <f t="shared" si="30"/>
        <v>100</v>
      </c>
    </row>
    <row r="141" spans="1:9" ht="40.200000000000003" x14ac:dyDescent="0.3">
      <c r="A141" s="7"/>
      <c r="B141" s="7"/>
      <c r="C141" s="7"/>
      <c r="D141" s="7" t="s">
        <v>2</v>
      </c>
      <c r="E141" s="6" t="s">
        <v>1</v>
      </c>
      <c r="F141" s="243">
        <v>20003.599999999999</v>
      </c>
      <c r="G141" s="243">
        <v>20066.587930000002</v>
      </c>
      <c r="H141" s="243">
        <v>20066.587930000002</v>
      </c>
      <c r="I141" s="369">
        <f t="shared" si="30"/>
        <v>100</v>
      </c>
    </row>
    <row r="142" spans="1:9" x14ac:dyDescent="0.3">
      <c r="A142" s="7"/>
      <c r="B142" s="7"/>
      <c r="C142" s="7"/>
      <c r="D142" s="7" t="s">
        <v>12</v>
      </c>
      <c r="E142" s="6" t="s">
        <v>11</v>
      </c>
      <c r="F142" s="243">
        <v>2190</v>
      </c>
      <c r="G142" s="243">
        <v>2125.0120700000002</v>
      </c>
      <c r="H142" s="243">
        <v>2125.0120700000002</v>
      </c>
      <c r="I142" s="369">
        <f t="shared" si="30"/>
        <v>100</v>
      </c>
    </row>
    <row r="143" spans="1:9" x14ac:dyDescent="0.3">
      <c r="A143" s="342"/>
      <c r="B143" s="342"/>
      <c r="C143" s="342"/>
      <c r="D143" s="7" t="s">
        <v>22</v>
      </c>
      <c r="E143" s="6" t="s">
        <v>21</v>
      </c>
      <c r="F143" s="403"/>
      <c r="G143" s="403">
        <v>2</v>
      </c>
      <c r="H143" s="403">
        <v>2</v>
      </c>
      <c r="I143" s="404">
        <f t="shared" si="30"/>
        <v>100</v>
      </c>
    </row>
    <row r="144" spans="1:9" x14ac:dyDescent="0.3">
      <c r="A144" s="7"/>
      <c r="B144" s="23" t="s">
        <v>482</v>
      </c>
      <c r="C144" s="22"/>
      <c r="D144" s="23"/>
      <c r="E144" s="20" t="s">
        <v>481</v>
      </c>
      <c r="F144" s="27">
        <f t="shared" ref="F144:H146" si="59">F145</f>
        <v>4041.8577999999998</v>
      </c>
      <c r="G144" s="27">
        <f t="shared" si="59"/>
        <v>4041.8577999999998</v>
      </c>
      <c r="H144" s="27">
        <f t="shared" si="59"/>
        <v>4036.7831800000004</v>
      </c>
      <c r="I144" s="358">
        <f t="shared" si="30"/>
        <v>99.874448329181703</v>
      </c>
    </row>
    <row r="145" spans="1:9" x14ac:dyDescent="0.3">
      <c r="A145" s="7"/>
      <c r="B145" s="55"/>
      <c r="C145" s="22" t="s">
        <v>36</v>
      </c>
      <c r="D145" s="21"/>
      <c r="E145" s="28" t="s">
        <v>166</v>
      </c>
      <c r="F145" s="27">
        <f t="shared" si="59"/>
        <v>4041.8577999999998</v>
      </c>
      <c r="G145" s="27">
        <f t="shared" si="59"/>
        <v>4041.8577999999998</v>
      </c>
      <c r="H145" s="27">
        <f t="shared" si="59"/>
        <v>4036.7831800000004</v>
      </c>
      <c r="I145" s="358">
        <f t="shared" si="30"/>
        <v>99.874448329181703</v>
      </c>
    </row>
    <row r="146" spans="1:9" ht="39.6" x14ac:dyDescent="0.3">
      <c r="A146" s="34"/>
      <c r="B146" s="34"/>
      <c r="C146" s="35" t="s">
        <v>454</v>
      </c>
      <c r="D146" s="34"/>
      <c r="E146" s="33" t="s">
        <v>453</v>
      </c>
      <c r="F146" s="32">
        <f t="shared" si="59"/>
        <v>4041.8577999999998</v>
      </c>
      <c r="G146" s="32">
        <f t="shared" si="59"/>
        <v>4041.8577999999998</v>
      </c>
      <c r="H146" s="32">
        <f t="shared" si="59"/>
        <v>4036.7831800000004</v>
      </c>
      <c r="I146" s="351">
        <f t="shared" si="30"/>
        <v>99.874448329181703</v>
      </c>
    </row>
    <row r="147" spans="1:9" ht="27" x14ac:dyDescent="0.3">
      <c r="A147" s="190"/>
      <c r="B147" s="190"/>
      <c r="C147" s="190" t="s">
        <v>480</v>
      </c>
      <c r="D147" s="190"/>
      <c r="E147" s="201" t="s">
        <v>479</v>
      </c>
      <c r="F147" s="192">
        <f>F148+F150+F154</f>
        <v>4041.8577999999998</v>
      </c>
      <c r="G147" s="192">
        <f t="shared" ref="G147:H147" si="60">G148+G150+G154</f>
        <v>4041.8577999999998</v>
      </c>
      <c r="H147" s="192">
        <f t="shared" si="60"/>
        <v>4036.7831800000004</v>
      </c>
      <c r="I147" s="353">
        <f t="shared" si="30"/>
        <v>99.874448329181703</v>
      </c>
    </row>
    <row r="148" spans="1:9" x14ac:dyDescent="0.3">
      <c r="A148" s="7"/>
      <c r="B148" s="7"/>
      <c r="C148" s="7" t="s">
        <v>478</v>
      </c>
      <c r="D148" s="7"/>
      <c r="E148" s="101" t="s">
        <v>477</v>
      </c>
      <c r="F148" s="9">
        <f>F149</f>
        <v>115.24372000000001</v>
      </c>
      <c r="G148" s="9">
        <f t="shared" ref="G148:H148" si="61">G149</f>
        <v>115.24372000000001</v>
      </c>
      <c r="H148" s="9">
        <f t="shared" si="61"/>
        <v>115.24372000000001</v>
      </c>
      <c r="I148" s="354">
        <f t="shared" ref="I148:I227" si="62">H148/G148*100</f>
        <v>100</v>
      </c>
    </row>
    <row r="149" spans="1:9" x14ac:dyDescent="0.3">
      <c r="A149" s="7"/>
      <c r="B149" s="7"/>
      <c r="C149" s="7"/>
      <c r="D149" s="7" t="s">
        <v>12</v>
      </c>
      <c r="E149" s="6" t="s">
        <v>11</v>
      </c>
      <c r="F149" s="9">
        <v>115.24372000000001</v>
      </c>
      <c r="G149" s="9">
        <v>115.24372000000001</v>
      </c>
      <c r="H149" s="9">
        <v>115.24372000000001</v>
      </c>
      <c r="I149" s="354">
        <f t="shared" si="62"/>
        <v>100</v>
      </c>
    </row>
    <row r="150" spans="1:9" x14ac:dyDescent="0.3">
      <c r="A150" s="7"/>
      <c r="B150" s="7"/>
      <c r="C150" s="7" t="s">
        <v>476</v>
      </c>
      <c r="D150" s="7"/>
      <c r="E150" s="12" t="s">
        <v>475</v>
      </c>
      <c r="F150" s="9">
        <f>F151+F152</f>
        <v>3427.91408</v>
      </c>
      <c r="G150" s="9">
        <f>G151+G152+G153</f>
        <v>3427.91408</v>
      </c>
      <c r="H150" s="9">
        <f>H151+H152+H153</f>
        <v>3422.8444600000003</v>
      </c>
      <c r="I150" s="354">
        <f t="shared" si="62"/>
        <v>99.852107728441084</v>
      </c>
    </row>
    <row r="151" spans="1:9" x14ac:dyDescent="0.3">
      <c r="A151" s="7"/>
      <c r="B151" s="7"/>
      <c r="C151" s="7"/>
      <c r="D151" s="7" t="s">
        <v>12</v>
      </c>
      <c r="E151" s="6" t="s">
        <v>11</v>
      </c>
      <c r="F151" s="9">
        <v>3296.0140799999999</v>
      </c>
      <c r="G151" s="9">
        <v>2695.9446899999998</v>
      </c>
      <c r="H151" s="9">
        <v>2695.9444600000002</v>
      </c>
      <c r="I151" s="354">
        <f t="shared" si="62"/>
        <v>99.999991468667716</v>
      </c>
    </row>
    <row r="152" spans="1:9" ht="27" x14ac:dyDescent="0.3">
      <c r="A152" s="7"/>
      <c r="B152" s="7"/>
      <c r="C152" s="7"/>
      <c r="D152" s="7" t="s">
        <v>57</v>
      </c>
      <c r="E152" s="6" t="s">
        <v>56</v>
      </c>
      <c r="F152" s="9">
        <f>107.6+24.3</f>
        <v>131.9</v>
      </c>
      <c r="G152" s="9">
        <f t="shared" ref="G152:H152" si="63">107.6+24.3</f>
        <v>131.9</v>
      </c>
      <c r="H152" s="9">
        <f t="shared" si="63"/>
        <v>131.9</v>
      </c>
      <c r="I152" s="354">
        <f t="shared" si="62"/>
        <v>100</v>
      </c>
    </row>
    <row r="153" spans="1:9" x14ac:dyDescent="0.3">
      <c r="A153" s="342"/>
      <c r="B153" s="342"/>
      <c r="C153" s="342"/>
      <c r="D153" s="7" t="s">
        <v>22</v>
      </c>
      <c r="E153" s="6" t="s">
        <v>21</v>
      </c>
      <c r="F153" s="344"/>
      <c r="G153" s="344">
        <v>600.06939</v>
      </c>
      <c r="H153" s="344">
        <v>595</v>
      </c>
      <c r="I153" s="354">
        <f t="shared" si="62"/>
        <v>99.155199367859765</v>
      </c>
    </row>
    <row r="154" spans="1:9" x14ac:dyDescent="0.3">
      <c r="A154" s="7"/>
      <c r="B154" s="7"/>
      <c r="C154" s="7" t="s">
        <v>474</v>
      </c>
      <c r="D154" s="7"/>
      <c r="E154" s="115" t="s">
        <v>473</v>
      </c>
      <c r="F154" s="9">
        <f>SUM(F156)</f>
        <v>498.7</v>
      </c>
      <c r="G154" s="9">
        <f>SUM(G156+G155)</f>
        <v>498.70000000000005</v>
      </c>
      <c r="H154" s="9">
        <f>SUM(H156+H155)</f>
        <v>498.69500000000005</v>
      </c>
      <c r="I154" s="354">
        <f t="shared" si="62"/>
        <v>99.998997393222382</v>
      </c>
    </row>
    <row r="155" spans="1:9" ht="40.200000000000003" x14ac:dyDescent="0.3">
      <c r="A155" s="342"/>
      <c r="B155" s="342"/>
      <c r="C155" s="342"/>
      <c r="D155" s="7" t="s">
        <v>2</v>
      </c>
      <c r="E155" s="6" t="s">
        <v>1</v>
      </c>
      <c r="F155" s="344"/>
      <c r="G155" s="344">
        <v>486.1</v>
      </c>
      <c r="H155" s="344">
        <v>486.09500000000003</v>
      </c>
      <c r="I155" s="354">
        <f t="shared" si="62"/>
        <v>99.998971405060686</v>
      </c>
    </row>
    <row r="156" spans="1:9" x14ac:dyDescent="0.3">
      <c r="A156" s="7"/>
      <c r="B156" s="7"/>
      <c r="C156" s="7"/>
      <c r="D156" s="7" t="s">
        <v>12</v>
      </c>
      <c r="E156" s="6" t="s">
        <v>11</v>
      </c>
      <c r="F156" s="9">
        <v>498.7</v>
      </c>
      <c r="G156" s="9">
        <v>12.6</v>
      </c>
      <c r="H156" s="9">
        <v>12.6</v>
      </c>
      <c r="I156" s="354">
        <f t="shared" si="62"/>
        <v>100</v>
      </c>
    </row>
    <row r="157" spans="1:9" ht="26.4" x14ac:dyDescent="0.3">
      <c r="A157" s="7"/>
      <c r="B157" s="23" t="s">
        <v>472</v>
      </c>
      <c r="C157" s="22"/>
      <c r="D157" s="23"/>
      <c r="E157" s="28" t="s">
        <v>471</v>
      </c>
      <c r="F157" s="27">
        <f>F158</f>
        <v>1028.55</v>
      </c>
      <c r="G157" s="27">
        <f t="shared" ref="G157:H157" si="64">G158</f>
        <v>1028.55</v>
      </c>
      <c r="H157" s="27">
        <f t="shared" si="64"/>
        <v>1011.7422199999999</v>
      </c>
      <c r="I157" s="358">
        <f t="shared" si="62"/>
        <v>98.365876233532632</v>
      </c>
    </row>
    <row r="158" spans="1:9" x14ac:dyDescent="0.3">
      <c r="A158" s="7"/>
      <c r="B158" s="23"/>
      <c r="C158" s="22" t="s">
        <v>36</v>
      </c>
      <c r="D158" s="21"/>
      <c r="E158" s="28" t="s">
        <v>35</v>
      </c>
      <c r="F158" s="27">
        <f>F159+F179</f>
        <v>1028.55</v>
      </c>
      <c r="G158" s="27">
        <f>G159+G179</f>
        <v>1028.55</v>
      </c>
      <c r="H158" s="27">
        <f>H159+H179</f>
        <v>1011.7422199999999</v>
      </c>
      <c r="I158" s="358">
        <f t="shared" si="62"/>
        <v>98.365876233532632</v>
      </c>
    </row>
    <row r="159" spans="1:9" ht="26.4" x14ac:dyDescent="0.3">
      <c r="A159" s="34"/>
      <c r="B159" s="34"/>
      <c r="C159" s="35" t="s">
        <v>470</v>
      </c>
      <c r="D159" s="34"/>
      <c r="E159" s="33" t="s">
        <v>469</v>
      </c>
      <c r="F159" s="32">
        <f>F160+F167</f>
        <v>818.8</v>
      </c>
      <c r="G159" s="32">
        <f t="shared" ref="G159:H159" si="65">G160+G167</f>
        <v>818.8</v>
      </c>
      <c r="H159" s="32">
        <f t="shared" si="65"/>
        <v>801.99221999999986</v>
      </c>
      <c r="I159" s="351">
        <f t="shared" si="62"/>
        <v>97.947266731802628</v>
      </c>
    </row>
    <row r="160" spans="1:9" ht="40.200000000000003" x14ac:dyDescent="0.3">
      <c r="A160" s="31"/>
      <c r="B160" s="31"/>
      <c r="C160" s="31" t="s">
        <v>468</v>
      </c>
      <c r="D160" s="31"/>
      <c r="E160" s="52" t="s">
        <v>679</v>
      </c>
      <c r="F160" s="29">
        <f>F161</f>
        <v>536.69999999999993</v>
      </c>
      <c r="G160" s="29">
        <f t="shared" ref="G160:H160" si="66">G161</f>
        <v>536.69999999999993</v>
      </c>
      <c r="H160" s="29">
        <f t="shared" si="66"/>
        <v>536.66221999999993</v>
      </c>
      <c r="I160" s="352">
        <f t="shared" si="62"/>
        <v>99.99296068567169</v>
      </c>
    </row>
    <row r="161" spans="1:9" ht="40.200000000000003" x14ac:dyDescent="0.3">
      <c r="A161" s="190"/>
      <c r="B161" s="190"/>
      <c r="C161" s="190" t="s">
        <v>467</v>
      </c>
      <c r="D161" s="197"/>
      <c r="E161" s="191" t="s">
        <v>680</v>
      </c>
      <c r="F161" s="192">
        <f>F162+F164</f>
        <v>536.69999999999993</v>
      </c>
      <c r="G161" s="192">
        <f t="shared" ref="G161:H161" si="67">G162+G164</f>
        <v>536.69999999999993</v>
      </c>
      <c r="H161" s="192">
        <f t="shared" si="67"/>
        <v>536.66221999999993</v>
      </c>
      <c r="I161" s="353">
        <f t="shared" si="62"/>
        <v>99.99296068567169</v>
      </c>
    </row>
    <row r="162" spans="1:9" ht="40.200000000000003" x14ac:dyDescent="0.3">
      <c r="A162" s="7"/>
      <c r="B162" s="7"/>
      <c r="C162" s="7" t="s">
        <v>466</v>
      </c>
      <c r="D162" s="7"/>
      <c r="E162" s="6" t="s">
        <v>465</v>
      </c>
      <c r="F162" s="9">
        <f>F163</f>
        <v>5.9</v>
      </c>
      <c r="G162" s="9">
        <f t="shared" ref="G162:H162" si="68">G163</f>
        <v>3.5377800000000001</v>
      </c>
      <c r="H162" s="9">
        <f t="shared" si="68"/>
        <v>3.5</v>
      </c>
      <c r="I162" s="354">
        <f t="shared" si="62"/>
        <v>98.932098660742042</v>
      </c>
    </row>
    <row r="163" spans="1:9" x14ac:dyDescent="0.3">
      <c r="A163" s="7"/>
      <c r="B163" s="7"/>
      <c r="C163" s="7"/>
      <c r="D163" s="7" t="s">
        <v>12</v>
      </c>
      <c r="E163" s="6" t="s">
        <v>11</v>
      </c>
      <c r="F163" s="9">
        <v>5.9</v>
      </c>
      <c r="G163" s="9">
        <v>3.5377800000000001</v>
      </c>
      <c r="H163" s="9">
        <v>3.5</v>
      </c>
      <c r="I163" s="354">
        <f t="shared" si="62"/>
        <v>98.932098660742042</v>
      </c>
    </row>
    <row r="164" spans="1:9" ht="40.200000000000003" x14ac:dyDescent="0.3">
      <c r="A164" s="7"/>
      <c r="B164" s="7"/>
      <c r="C164" s="7" t="s">
        <v>464</v>
      </c>
      <c r="D164" s="7"/>
      <c r="E164" s="6" t="s">
        <v>463</v>
      </c>
      <c r="F164" s="9">
        <f>F165</f>
        <v>530.79999999999995</v>
      </c>
      <c r="G164" s="9">
        <f>G165+G166</f>
        <v>533.16221999999993</v>
      </c>
      <c r="H164" s="9">
        <f>H165+H166</f>
        <v>533.16221999999993</v>
      </c>
      <c r="I164" s="354">
        <f t="shared" si="62"/>
        <v>100</v>
      </c>
    </row>
    <row r="165" spans="1:9" x14ac:dyDescent="0.3">
      <c r="A165" s="7"/>
      <c r="B165" s="7"/>
      <c r="C165" s="7"/>
      <c r="D165" s="7" t="s">
        <v>12</v>
      </c>
      <c r="E165" s="6" t="s">
        <v>11</v>
      </c>
      <c r="F165" s="9">
        <v>530.79999999999995</v>
      </c>
      <c r="G165" s="9">
        <v>508.16221999999999</v>
      </c>
      <c r="H165" s="9">
        <v>508.16221999999999</v>
      </c>
      <c r="I165" s="354">
        <f t="shared" si="62"/>
        <v>100</v>
      </c>
    </row>
    <row r="166" spans="1:9" ht="27" x14ac:dyDescent="0.3">
      <c r="A166" s="342"/>
      <c r="B166" s="342"/>
      <c r="C166" s="342"/>
      <c r="D166" s="7" t="s">
        <v>57</v>
      </c>
      <c r="E166" s="6" t="s">
        <v>56</v>
      </c>
      <c r="F166" s="344"/>
      <c r="G166" s="344">
        <v>25</v>
      </c>
      <c r="H166" s="344">
        <v>25</v>
      </c>
      <c r="I166" s="354">
        <f t="shared" si="62"/>
        <v>100</v>
      </c>
    </row>
    <row r="167" spans="1:9" ht="27" x14ac:dyDescent="0.3">
      <c r="A167" s="31"/>
      <c r="B167" s="31"/>
      <c r="C167" s="31" t="s">
        <v>462</v>
      </c>
      <c r="D167" s="31"/>
      <c r="E167" s="52" t="s">
        <v>461</v>
      </c>
      <c r="F167" s="29">
        <f>F168</f>
        <v>282.10000000000002</v>
      </c>
      <c r="G167" s="29">
        <f t="shared" ref="G167:H167" si="69">G168</f>
        <v>282.10000000000002</v>
      </c>
      <c r="H167" s="29">
        <f t="shared" si="69"/>
        <v>265.33</v>
      </c>
      <c r="I167" s="352">
        <f t="shared" si="62"/>
        <v>94.055299539170491</v>
      </c>
    </row>
    <row r="168" spans="1:9" ht="27" x14ac:dyDescent="0.3">
      <c r="A168" s="190"/>
      <c r="B168" s="190"/>
      <c r="C168" s="190" t="s">
        <v>460</v>
      </c>
      <c r="D168" s="197"/>
      <c r="E168" s="191" t="s">
        <v>459</v>
      </c>
      <c r="F168" s="192">
        <f>F169+F177+F175</f>
        <v>282.10000000000002</v>
      </c>
      <c r="G168" s="192">
        <f>G169+G177+G175</f>
        <v>282.10000000000002</v>
      </c>
      <c r="H168" s="192">
        <f>H169+H177+H175</f>
        <v>265.33</v>
      </c>
      <c r="I168" s="353">
        <f t="shared" si="62"/>
        <v>94.055299539170491</v>
      </c>
    </row>
    <row r="169" spans="1:9" x14ac:dyDescent="0.3">
      <c r="A169" s="8"/>
      <c r="B169" s="8"/>
      <c r="C169" s="7" t="s">
        <v>458</v>
      </c>
      <c r="D169" s="7"/>
      <c r="E169" s="114" t="s">
        <v>698</v>
      </c>
      <c r="F169" s="9">
        <f>F170+F173</f>
        <v>267.60000000000002</v>
      </c>
      <c r="G169" s="9">
        <f t="shared" ref="G169:H169" si="70">G170+G173</f>
        <v>267.60000000000002</v>
      </c>
      <c r="H169" s="9">
        <f t="shared" si="70"/>
        <v>250.82999999999998</v>
      </c>
      <c r="I169" s="354">
        <f t="shared" si="62"/>
        <v>93.733183856502237</v>
      </c>
    </row>
    <row r="170" spans="1:9" x14ac:dyDescent="0.3">
      <c r="A170" s="8"/>
      <c r="B170" s="8"/>
      <c r="C170" s="7"/>
      <c r="D170" s="7" t="s">
        <v>2</v>
      </c>
      <c r="E170" s="6" t="s">
        <v>11</v>
      </c>
      <c r="F170" s="9">
        <f>SUM(F171:F172)</f>
        <v>248.5</v>
      </c>
      <c r="G170" s="9">
        <f t="shared" ref="G170:H170" si="71">SUM(G171:G172)</f>
        <v>248.5</v>
      </c>
      <c r="H170" s="9">
        <f t="shared" si="71"/>
        <v>235.82999999999998</v>
      </c>
      <c r="I170" s="354">
        <f t="shared" si="62"/>
        <v>94.90140845070421</v>
      </c>
    </row>
    <row r="171" spans="1:9" x14ac:dyDescent="0.3">
      <c r="A171" s="8"/>
      <c r="B171" s="8"/>
      <c r="C171" s="7"/>
      <c r="D171" s="7"/>
      <c r="E171" s="6" t="s">
        <v>157</v>
      </c>
      <c r="F171" s="9">
        <v>86.1</v>
      </c>
      <c r="G171" s="9">
        <v>86.1</v>
      </c>
      <c r="H171" s="9">
        <v>73.665000000000006</v>
      </c>
      <c r="I171" s="354">
        <f t="shared" si="62"/>
        <v>85.557491289198623</v>
      </c>
    </row>
    <row r="172" spans="1:9" x14ac:dyDescent="0.3">
      <c r="A172" s="8"/>
      <c r="B172" s="8"/>
      <c r="C172" s="7"/>
      <c r="D172" s="7"/>
      <c r="E172" s="6" t="s">
        <v>156</v>
      </c>
      <c r="F172" s="9">
        <v>162.4</v>
      </c>
      <c r="G172" s="9">
        <v>162.4</v>
      </c>
      <c r="H172" s="9">
        <v>162.16499999999999</v>
      </c>
      <c r="I172" s="354">
        <f t="shared" si="62"/>
        <v>99.855295566502463</v>
      </c>
    </row>
    <row r="173" spans="1:9" x14ac:dyDescent="0.3">
      <c r="A173" s="8"/>
      <c r="B173" s="8"/>
      <c r="C173" s="7"/>
      <c r="D173" s="7" t="s">
        <v>12</v>
      </c>
      <c r="E173" s="6" t="s">
        <v>11</v>
      </c>
      <c r="F173" s="9">
        <f>F174</f>
        <v>19.100000000000001</v>
      </c>
      <c r="G173" s="9">
        <f t="shared" ref="G173:H173" si="72">G174</f>
        <v>19.100000000000001</v>
      </c>
      <c r="H173" s="9">
        <f t="shared" si="72"/>
        <v>15</v>
      </c>
      <c r="I173" s="354">
        <f t="shared" si="62"/>
        <v>78.534031413612553</v>
      </c>
    </row>
    <row r="174" spans="1:9" x14ac:dyDescent="0.3">
      <c r="A174" s="8"/>
      <c r="B174" s="8"/>
      <c r="C174" s="7"/>
      <c r="D174" s="7"/>
      <c r="E174" s="6" t="s">
        <v>156</v>
      </c>
      <c r="F174" s="9">
        <v>19.100000000000001</v>
      </c>
      <c r="G174" s="9">
        <v>19.100000000000001</v>
      </c>
      <c r="H174" s="9">
        <v>15</v>
      </c>
      <c r="I174" s="354">
        <f t="shared" si="62"/>
        <v>78.534031413612553</v>
      </c>
    </row>
    <row r="175" spans="1:9" ht="27" x14ac:dyDescent="0.3">
      <c r="A175" s="8"/>
      <c r="B175" s="8"/>
      <c r="C175" s="7" t="s">
        <v>457</v>
      </c>
      <c r="D175" s="7"/>
      <c r="E175" s="6" t="s">
        <v>699</v>
      </c>
      <c r="F175" s="5">
        <f>F176</f>
        <v>3</v>
      </c>
      <c r="G175" s="5">
        <f t="shared" ref="G175:H175" si="73">G176</f>
        <v>3</v>
      </c>
      <c r="H175" s="5">
        <f t="shared" si="73"/>
        <v>3</v>
      </c>
      <c r="I175" s="359">
        <f t="shared" si="62"/>
        <v>100</v>
      </c>
    </row>
    <row r="176" spans="1:9" x14ac:dyDescent="0.3">
      <c r="A176" s="8"/>
      <c r="B176" s="8"/>
      <c r="C176" s="7"/>
      <c r="D176" s="7" t="s">
        <v>12</v>
      </c>
      <c r="E176" s="6" t="s">
        <v>11</v>
      </c>
      <c r="F176" s="5">
        <v>3</v>
      </c>
      <c r="G176" s="5">
        <v>3</v>
      </c>
      <c r="H176" s="5">
        <v>3</v>
      </c>
      <c r="I176" s="359">
        <f t="shared" si="62"/>
        <v>100</v>
      </c>
    </row>
    <row r="177" spans="1:9" x14ac:dyDescent="0.3">
      <c r="A177" s="8"/>
      <c r="B177" s="8"/>
      <c r="C177" s="7" t="s">
        <v>456</v>
      </c>
      <c r="D177" s="7"/>
      <c r="E177" s="6" t="s">
        <v>455</v>
      </c>
      <c r="F177" s="5">
        <f>F178</f>
        <v>11.5</v>
      </c>
      <c r="G177" s="5">
        <f t="shared" ref="G177:H177" si="74">G178</f>
        <v>11.5</v>
      </c>
      <c r="H177" s="5">
        <f t="shared" si="74"/>
        <v>11.5</v>
      </c>
      <c r="I177" s="359">
        <f t="shared" si="62"/>
        <v>100</v>
      </c>
    </row>
    <row r="178" spans="1:9" ht="27" x14ac:dyDescent="0.3">
      <c r="A178" s="8"/>
      <c r="B178" s="8"/>
      <c r="C178" s="7"/>
      <c r="D178" s="7" t="s">
        <v>57</v>
      </c>
      <c r="E178" s="6" t="s">
        <v>56</v>
      </c>
      <c r="F178" s="5">
        <v>11.5</v>
      </c>
      <c r="G178" s="5">
        <v>11.5</v>
      </c>
      <c r="H178" s="5">
        <v>11.5</v>
      </c>
      <c r="I178" s="359">
        <f t="shared" si="62"/>
        <v>100</v>
      </c>
    </row>
    <row r="179" spans="1:9" ht="39.6" x14ac:dyDescent="0.3">
      <c r="A179" s="34"/>
      <c r="B179" s="34"/>
      <c r="C179" s="35" t="s">
        <v>454</v>
      </c>
      <c r="D179" s="34"/>
      <c r="E179" s="33" t="s">
        <v>453</v>
      </c>
      <c r="F179" s="32">
        <f t="shared" ref="F179:H181" si="75">F180</f>
        <v>209.75</v>
      </c>
      <c r="G179" s="32">
        <f t="shared" si="75"/>
        <v>209.75</v>
      </c>
      <c r="H179" s="32">
        <f t="shared" si="75"/>
        <v>209.75</v>
      </c>
      <c r="I179" s="351">
        <f t="shared" si="62"/>
        <v>100</v>
      </c>
    </row>
    <row r="180" spans="1:9" x14ac:dyDescent="0.3">
      <c r="A180" s="190"/>
      <c r="B180" s="190"/>
      <c r="C180" s="190" t="s">
        <v>452</v>
      </c>
      <c r="D180" s="190"/>
      <c r="E180" s="201" t="s">
        <v>451</v>
      </c>
      <c r="F180" s="192">
        <f t="shared" si="75"/>
        <v>209.75</v>
      </c>
      <c r="G180" s="192">
        <f t="shared" si="75"/>
        <v>209.75</v>
      </c>
      <c r="H180" s="192">
        <f t="shared" si="75"/>
        <v>209.75</v>
      </c>
      <c r="I180" s="353">
        <f t="shared" si="62"/>
        <v>100</v>
      </c>
    </row>
    <row r="181" spans="1:9" x14ac:dyDescent="0.3">
      <c r="A181" s="8"/>
      <c r="B181" s="8"/>
      <c r="C181" s="7" t="s">
        <v>450</v>
      </c>
      <c r="D181" s="7"/>
      <c r="E181" s="113" t="s">
        <v>740</v>
      </c>
      <c r="F181" s="9">
        <f t="shared" si="75"/>
        <v>209.75</v>
      </c>
      <c r="G181" s="9">
        <f t="shared" si="75"/>
        <v>209.75</v>
      </c>
      <c r="H181" s="9">
        <f t="shared" si="75"/>
        <v>209.75</v>
      </c>
      <c r="I181" s="354">
        <f t="shared" si="62"/>
        <v>100</v>
      </c>
    </row>
    <row r="182" spans="1:9" x14ac:dyDescent="0.3">
      <c r="A182" s="8"/>
      <c r="B182" s="8"/>
      <c r="C182" s="7"/>
      <c r="D182" s="7" t="s">
        <v>12</v>
      </c>
      <c r="E182" s="6" t="s">
        <v>11</v>
      </c>
      <c r="F182" s="9">
        <v>209.75</v>
      </c>
      <c r="G182" s="9">
        <v>209.75</v>
      </c>
      <c r="H182" s="9">
        <v>209.75</v>
      </c>
      <c r="I182" s="354">
        <f t="shared" si="62"/>
        <v>100</v>
      </c>
    </row>
    <row r="183" spans="1:9" x14ac:dyDescent="0.3">
      <c r="A183" s="21"/>
      <c r="B183" s="23" t="s">
        <v>449</v>
      </c>
      <c r="C183" s="22"/>
      <c r="D183" s="21"/>
      <c r="E183" s="20" t="s">
        <v>448</v>
      </c>
      <c r="F183" s="27">
        <f>F184+F223+F230+F265</f>
        <v>152000.63531000001</v>
      </c>
      <c r="G183" s="27">
        <f>G184+G223+G230+G265</f>
        <v>177723.55686000001</v>
      </c>
      <c r="H183" s="27">
        <f>H184+H223+H230+H265</f>
        <v>176205.37216999999</v>
      </c>
      <c r="I183" s="358">
        <f t="shared" si="62"/>
        <v>99.145760575118373</v>
      </c>
    </row>
    <row r="184" spans="1:9" x14ac:dyDescent="0.3">
      <c r="A184" s="21"/>
      <c r="B184" s="23" t="s">
        <v>447</v>
      </c>
      <c r="C184" s="22"/>
      <c r="D184" s="23"/>
      <c r="E184" s="28" t="s">
        <v>446</v>
      </c>
      <c r="F184" s="27">
        <f>F185+F219</f>
        <v>935.2</v>
      </c>
      <c r="G184" s="27">
        <f t="shared" ref="G184:H184" si="76">G185+G219</f>
        <v>969.47577000000001</v>
      </c>
      <c r="H184" s="27">
        <f t="shared" si="76"/>
        <v>969.47577000000001</v>
      </c>
      <c r="I184" s="358">
        <f t="shared" si="62"/>
        <v>100</v>
      </c>
    </row>
    <row r="185" spans="1:9" x14ac:dyDescent="0.3">
      <c r="A185" s="21"/>
      <c r="B185" s="23"/>
      <c r="C185" s="22" t="s">
        <v>36</v>
      </c>
      <c r="D185" s="21"/>
      <c r="E185" s="28" t="s">
        <v>35</v>
      </c>
      <c r="F185" s="27">
        <f>F186+F202</f>
        <v>378.8</v>
      </c>
      <c r="G185" s="27">
        <f>G186+G202+G207</f>
        <v>413.07577000000003</v>
      </c>
      <c r="H185" s="27">
        <f>H186+H202+H207</f>
        <v>413.07577000000003</v>
      </c>
      <c r="I185" s="358">
        <f t="shared" si="62"/>
        <v>100</v>
      </c>
    </row>
    <row r="186" spans="1:9" ht="26.4" x14ac:dyDescent="0.3">
      <c r="A186" s="34"/>
      <c r="B186" s="34"/>
      <c r="C186" s="35" t="s">
        <v>387</v>
      </c>
      <c r="D186" s="34"/>
      <c r="E186" s="33" t="s">
        <v>386</v>
      </c>
      <c r="F186" s="32">
        <f>F187</f>
        <v>259.8</v>
      </c>
      <c r="G186" s="32">
        <f t="shared" ref="G186:H186" si="77">G187</f>
        <v>259.8</v>
      </c>
      <c r="H186" s="32">
        <f t="shared" si="77"/>
        <v>259.8</v>
      </c>
      <c r="I186" s="351">
        <f t="shared" si="62"/>
        <v>100</v>
      </c>
    </row>
    <row r="187" spans="1:9" ht="27" x14ac:dyDescent="0.3">
      <c r="A187" s="31"/>
      <c r="B187" s="31"/>
      <c r="C187" s="31" t="s">
        <v>445</v>
      </c>
      <c r="D187" s="31"/>
      <c r="E187" s="82" t="s">
        <v>444</v>
      </c>
      <c r="F187" s="29">
        <f>F188+F191</f>
        <v>259.8</v>
      </c>
      <c r="G187" s="29">
        <f t="shared" ref="G187:H187" si="78">G188+G191</f>
        <v>259.8</v>
      </c>
      <c r="H187" s="29">
        <f t="shared" si="78"/>
        <v>259.8</v>
      </c>
      <c r="I187" s="352">
        <f t="shared" si="62"/>
        <v>100</v>
      </c>
    </row>
    <row r="188" spans="1:9" x14ac:dyDescent="0.3">
      <c r="A188" s="190"/>
      <c r="B188" s="190"/>
      <c r="C188" s="190" t="s">
        <v>443</v>
      </c>
      <c r="D188" s="190"/>
      <c r="E188" s="201" t="s">
        <v>442</v>
      </c>
      <c r="F188" s="192">
        <f t="shared" ref="F188:H189" si="79">F189</f>
        <v>124</v>
      </c>
      <c r="G188" s="192">
        <f t="shared" si="79"/>
        <v>124</v>
      </c>
      <c r="H188" s="192">
        <f t="shared" si="79"/>
        <v>124</v>
      </c>
      <c r="I188" s="353">
        <f t="shared" si="62"/>
        <v>100</v>
      </c>
    </row>
    <row r="189" spans="1:9" x14ac:dyDescent="0.3">
      <c r="A189" s="7"/>
      <c r="B189" s="7"/>
      <c r="C189" s="7" t="s">
        <v>441</v>
      </c>
      <c r="D189" s="7"/>
      <c r="E189" s="102" t="s">
        <v>440</v>
      </c>
      <c r="F189" s="5">
        <f t="shared" si="79"/>
        <v>124</v>
      </c>
      <c r="G189" s="5">
        <f t="shared" si="79"/>
        <v>124</v>
      </c>
      <c r="H189" s="5">
        <f t="shared" si="79"/>
        <v>124</v>
      </c>
      <c r="I189" s="359">
        <f t="shared" si="62"/>
        <v>100</v>
      </c>
    </row>
    <row r="190" spans="1:9" x14ac:dyDescent="0.3">
      <c r="A190" s="7"/>
      <c r="B190" s="7"/>
      <c r="C190" s="7"/>
      <c r="D190" s="7" t="s">
        <v>12</v>
      </c>
      <c r="E190" s="6" t="s">
        <v>11</v>
      </c>
      <c r="F190" s="5">
        <v>124</v>
      </c>
      <c r="G190" s="5">
        <v>124</v>
      </c>
      <c r="H190" s="5">
        <v>124</v>
      </c>
      <c r="I190" s="359">
        <f t="shared" si="62"/>
        <v>100</v>
      </c>
    </row>
    <row r="191" spans="1:9" x14ac:dyDescent="0.3">
      <c r="A191" s="190"/>
      <c r="B191" s="190"/>
      <c r="C191" s="190" t="s">
        <v>439</v>
      </c>
      <c r="D191" s="190"/>
      <c r="E191" s="201" t="s">
        <v>438</v>
      </c>
      <c r="F191" s="192">
        <f>F192+F194+F196+F198</f>
        <v>135.80000000000001</v>
      </c>
      <c r="G191" s="192">
        <f>G192+G194+G196+G198+G200</f>
        <v>135.80000000000001</v>
      </c>
      <c r="H191" s="192">
        <f>H192+H194+H196+H198+H200</f>
        <v>135.80000000000001</v>
      </c>
      <c r="I191" s="353">
        <f t="shared" si="62"/>
        <v>100</v>
      </c>
    </row>
    <row r="192" spans="1:9" ht="27" x14ac:dyDescent="0.3">
      <c r="A192" s="8"/>
      <c r="B192" s="8"/>
      <c r="C192" s="7" t="s">
        <v>437</v>
      </c>
      <c r="D192" s="7"/>
      <c r="E192" s="102" t="s">
        <v>436</v>
      </c>
      <c r="F192" s="5">
        <f>F193</f>
        <v>40.4</v>
      </c>
      <c r="G192" s="5">
        <f t="shared" ref="G192:H192" si="80">G193</f>
        <v>40.4</v>
      </c>
      <c r="H192" s="5">
        <f t="shared" si="80"/>
        <v>40.4</v>
      </c>
      <c r="I192" s="359">
        <f t="shared" si="62"/>
        <v>100</v>
      </c>
    </row>
    <row r="193" spans="1:9" x14ac:dyDescent="0.3">
      <c r="A193" s="8"/>
      <c r="B193" s="8"/>
      <c r="C193" s="7"/>
      <c r="D193" s="7" t="s">
        <v>12</v>
      </c>
      <c r="E193" s="6" t="s">
        <v>11</v>
      </c>
      <c r="F193" s="5">
        <v>40.4</v>
      </c>
      <c r="G193" s="5">
        <v>40.4</v>
      </c>
      <c r="H193" s="5">
        <v>40.4</v>
      </c>
      <c r="I193" s="359">
        <f t="shared" si="62"/>
        <v>100</v>
      </c>
    </row>
    <row r="194" spans="1:9" x14ac:dyDescent="0.3">
      <c r="A194" s="8"/>
      <c r="B194" s="8"/>
      <c r="C194" s="7" t="s">
        <v>435</v>
      </c>
      <c r="D194" s="7"/>
      <c r="E194" s="102" t="s">
        <v>434</v>
      </c>
      <c r="F194" s="5">
        <f>F195</f>
        <v>40</v>
      </c>
      <c r="G194" s="5">
        <f t="shared" ref="G194:H194" si="81">G195</f>
        <v>40</v>
      </c>
      <c r="H194" s="5">
        <f t="shared" si="81"/>
        <v>40</v>
      </c>
      <c r="I194" s="359">
        <f t="shared" si="62"/>
        <v>100</v>
      </c>
    </row>
    <row r="195" spans="1:9" x14ac:dyDescent="0.3">
      <c r="A195" s="8"/>
      <c r="B195" s="8"/>
      <c r="C195" s="7"/>
      <c r="D195" s="7" t="s">
        <v>12</v>
      </c>
      <c r="E195" s="6" t="s">
        <v>11</v>
      </c>
      <c r="F195" s="5">
        <v>40</v>
      </c>
      <c r="G195" s="5">
        <v>40</v>
      </c>
      <c r="H195" s="5">
        <v>40</v>
      </c>
      <c r="I195" s="359">
        <f t="shared" si="62"/>
        <v>100</v>
      </c>
    </row>
    <row r="196" spans="1:9" x14ac:dyDescent="0.3">
      <c r="A196" s="8"/>
      <c r="B196" s="8"/>
      <c r="C196" s="7" t="s">
        <v>433</v>
      </c>
      <c r="D196" s="7"/>
      <c r="E196" s="102" t="s">
        <v>432</v>
      </c>
      <c r="F196" s="5">
        <f>F197</f>
        <v>26.6</v>
      </c>
      <c r="G196" s="5">
        <f t="shared" ref="G196:H196" si="82">G197</f>
        <v>0</v>
      </c>
      <c r="H196" s="5">
        <f t="shared" si="82"/>
        <v>0</v>
      </c>
      <c r="I196" s="359"/>
    </row>
    <row r="197" spans="1:9" x14ac:dyDescent="0.3">
      <c r="A197" s="8"/>
      <c r="B197" s="8"/>
      <c r="C197" s="7"/>
      <c r="D197" s="7" t="s">
        <v>12</v>
      </c>
      <c r="E197" s="6" t="s">
        <v>11</v>
      </c>
      <c r="F197" s="5">
        <v>26.6</v>
      </c>
      <c r="G197" s="5">
        <v>0</v>
      </c>
      <c r="H197" s="5">
        <v>0</v>
      </c>
      <c r="I197" s="359"/>
    </row>
    <row r="198" spans="1:9" x14ac:dyDescent="0.3">
      <c r="A198" s="8"/>
      <c r="B198" s="8"/>
      <c r="C198" s="7" t="s">
        <v>431</v>
      </c>
      <c r="D198" s="7"/>
      <c r="E198" s="102" t="s">
        <v>430</v>
      </c>
      <c r="F198" s="5">
        <f>F199</f>
        <v>28.8</v>
      </c>
      <c r="G198" s="5">
        <f t="shared" ref="G198:H198" si="83">G199</f>
        <v>28.8</v>
      </c>
      <c r="H198" s="5">
        <f t="shared" si="83"/>
        <v>28.8</v>
      </c>
      <c r="I198" s="359">
        <f t="shared" si="62"/>
        <v>100</v>
      </c>
    </row>
    <row r="199" spans="1:9" x14ac:dyDescent="0.3">
      <c r="A199" s="8"/>
      <c r="B199" s="8"/>
      <c r="C199" s="7"/>
      <c r="D199" s="7" t="s">
        <v>12</v>
      </c>
      <c r="E199" s="6" t="s">
        <v>11</v>
      </c>
      <c r="F199" s="5">
        <v>28.8</v>
      </c>
      <c r="G199" s="5">
        <v>28.8</v>
      </c>
      <c r="H199" s="5">
        <v>28.8</v>
      </c>
      <c r="I199" s="359">
        <f t="shared" si="62"/>
        <v>100</v>
      </c>
    </row>
    <row r="200" spans="1:9" x14ac:dyDescent="0.3">
      <c r="A200" s="8"/>
      <c r="B200" s="8"/>
      <c r="C200" s="7" t="s">
        <v>857</v>
      </c>
      <c r="D200" s="7"/>
      <c r="E200" s="102" t="s">
        <v>858</v>
      </c>
      <c r="F200" s="5">
        <f>F201</f>
        <v>0</v>
      </c>
      <c r="G200" s="5">
        <f t="shared" ref="G200" si="84">G201</f>
        <v>26.6</v>
      </c>
      <c r="H200" s="5">
        <f t="shared" ref="H200" si="85">H201</f>
        <v>26.6</v>
      </c>
      <c r="I200" s="359">
        <f t="shared" ref="I200:I201" si="86">H200/G200*100</f>
        <v>100</v>
      </c>
    </row>
    <row r="201" spans="1:9" x14ac:dyDescent="0.3">
      <c r="A201" s="8"/>
      <c r="B201" s="8"/>
      <c r="C201" s="7"/>
      <c r="D201" s="7" t="s">
        <v>12</v>
      </c>
      <c r="E201" s="6" t="s">
        <v>11</v>
      </c>
      <c r="F201" s="5">
        <v>0</v>
      </c>
      <c r="G201" s="5">
        <v>26.6</v>
      </c>
      <c r="H201" s="5">
        <v>26.6</v>
      </c>
      <c r="I201" s="359">
        <f t="shared" si="86"/>
        <v>100</v>
      </c>
    </row>
    <row r="202" spans="1:9" ht="26.4" x14ac:dyDescent="0.3">
      <c r="A202" s="34"/>
      <c r="B202" s="34"/>
      <c r="C202" s="35" t="s">
        <v>293</v>
      </c>
      <c r="D202" s="34"/>
      <c r="E202" s="33" t="s">
        <v>292</v>
      </c>
      <c r="F202" s="32">
        <f t="shared" ref="F202:H205" si="87">F203</f>
        <v>119</v>
      </c>
      <c r="G202" s="32">
        <f t="shared" si="87"/>
        <v>119</v>
      </c>
      <c r="H202" s="32">
        <f t="shared" si="87"/>
        <v>119</v>
      </c>
      <c r="I202" s="351">
        <f t="shared" si="62"/>
        <v>100</v>
      </c>
    </row>
    <row r="203" spans="1:9" ht="27" x14ac:dyDescent="0.3">
      <c r="A203" s="31"/>
      <c r="B203" s="31"/>
      <c r="C203" s="31" t="s">
        <v>291</v>
      </c>
      <c r="D203" s="31"/>
      <c r="E203" s="82" t="s">
        <v>290</v>
      </c>
      <c r="F203" s="29">
        <f t="shared" si="87"/>
        <v>119</v>
      </c>
      <c r="G203" s="29">
        <f t="shared" si="87"/>
        <v>119</v>
      </c>
      <c r="H203" s="29">
        <f t="shared" si="87"/>
        <v>119</v>
      </c>
      <c r="I203" s="352">
        <f t="shared" si="62"/>
        <v>100</v>
      </c>
    </row>
    <row r="204" spans="1:9" ht="27" x14ac:dyDescent="0.3">
      <c r="A204" s="190"/>
      <c r="B204" s="190"/>
      <c r="C204" s="190" t="s">
        <v>429</v>
      </c>
      <c r="D204" s="197"/>
      <c r="E204" s="201" t="s">
        <v>428</v>
      </c>
      <c r="F204" s="192">
        <f t="shared" si="87"/>
        <v>119</v>
      </c>
      <c r="G204" s="192">
        <f t="shared" si="87"/>
        <v>119</v>
      </c>
      <c r="H204" s="192">
        <f t="shared" si="87"/>
        <v>119</v>
      </c>
      <c r="I204" s="353">
        <f t="shared" si="62"/>
        <v>100</v>
      </c>
    </row>
    <row r="205" spans="1:9" ht="26.4" x14ac:dyDescent="0.3">
      <c r="A205" s="8"/>
      <c r="B205" s="8"/>
      <c r="C205" s="55" t="s">
        <v>427</v>
      </c>
      <c r="D205" s="55"/>
      <c r="E205" s="10" t="s">
        <v>426</v>
      </c>
      <c r="F205" s="5">
        <f t="shared" si="87"/>
        <v>119</v>
      </c>
      <c r="G205" s="5">
        <f t="shared" si="87"/>
        <v>119</v>
      </c>
      <c r="H205" s="5">
        <f t="shared" si="87"/>
        <v>119</v>
      </c>
      <c r="I205" s="359">
        <f t="shared" si="62"/>
        <v>100</v>
      </c>
    </row>
    <row r="206" spans="1:9" x14ac:dyDescent="0.3">
      <c r="A206" s="8"/>
      <c r="B206" s="8"/>
      <c r="C206" s="55"/>
      <c r="D206" s="7" t="s">
        <v>12</v>
      </c>
      <c r="E206" s="6" t="s">
        <v>11</v>
      </c>
      <c r="F206" s="5">
        <v>119</v>
      </c>
      <c r="G206" s="5">
        <v>119</v>
      </c>
      <c r="H206" s="5">
        <v>119</v>
      </c>
      <c r="I206" s="359">
        <f t="shared" si="62"/>
        <v>100</v>
      </c>
    </row>
    <row r="207" spans="1:9" ht="39.6" x14ac:dyDescent="0.3">
      <c r="A207" s="34"/>
      <c r="B207" s="34"/>
      <c r="C207" s="35" t="s">
        <v>377</v>
      </c>
      <c r="D207" s="34"/>
      <c r="E207" s="33" t="s">
        <v>376</v>
      </c>
      <c r="F207" s="406"/>
      <c r="G207" s="408">
        <f>G208</f>
        <v>34.275770000000001</v>
      </c>
      <c r="H207" s="408">
        <f>H208</f>
        <v>34.275770000000001</v>
      </c>
      <c r="I207" s="406">
        <f t="shared" si="62"/>
        <v>100</v>
      </c>
    </row>
    <row r="208" spans="1:9" x14ac:dyDescent="0.3">
      <c r="A208" s="190"/>
      <c r="B208" s="190"/>
      <c r="C208" s="190" t="s">
        <v>375</v>
      </c>
      <c r="D208" s="197"/>
      <c r="E208" s="191" t="s">
        <v>374</v>
      </c>
      <c r="F208" s="407"/>
      <c r="G208" s="409">
        <f>G209+G214</f>
        <v>34.275770000000001</v>
      </c>
      <c r="H208" s="409">
        <f>H209+H214</f>
        <v>34.275770000000001</v>
      </c>
      <c r="I208" s="407">
        <f t="shared" si="62"/>
        <v>100</v>
      </c>
    </row>
    <row r="209" spans="1:9" ht="36.75" customHeight="1" x14ac:dyDescent="0.3">
      <c r="A209" s="343"/>
      <c r="B209" s="343"/>
      <c r="C209" s="405" t="s">
        <v>859</v>
      </c>
      <c r="D209" s="342"/>
      <c r="E209" s="391" t="s">
        <v>860</v>
      </c>
      <c r="F209" s="392"/>
      <c r="G209" s="392">
        <f>G210</f>
        <v>12.225760000000001</v>
      </c>
      <c r="H209" s="392">
        <f>H210</f>
        <v>12.225760000000001</v>
      </c>
      <c r="I209" s="393">
        <f t="shared" si="62"/>
        <v>100</v>
      </c>
    </row>
    <row r="210" spans="1:9" x14ac:dyDescent="0.3">
      <c r="A210" s="343"/>
      <c r="B210" s="343"/>
      <c r="C210" s="405"/>
      <c r="D210" s="7" t="s">
        <v>12</v>
      </c>
      <c r="E210" s="6" t="s">
        <v>11</v>
      </c>
      <c r="F210" s="392"/>
      <c r="G210" s="392">
        <f>G211+G212+G213</f>
        <v>12.225760000000001</v>
      </c>
      <c r="H210" s="392">
        <f>H211+H212+H213</f>
        <v>12.225760000000001</v>
      </c>
      <c r="I210" s="393">
        <f t="shared" si="62"/>
        <v>100</v>
      </c>
    </row>
    <row r="211" spans="1:9" x14ac:dyDescent="0.3">
      <c r="A211" s="343"/>
      <c r="B211" s="343"/>
      <c r="C211" s="405"/>
      <c r="D211" s="342"/>
      <c r="E211" s="104" t="s">
        <v>863</v>
      </c>
      <c r="F211" s="392"/>
      <c r="G211" s="392">
        <v>9.0776199999999996</v>
      </c>
      <c r="H211" s="392">
        <v>9.0776199999999996</v>
      </c>
      <c r="I211" s="393">
        <f t="shared" si="62"/>
        <v>100</v>
      </c>
    </row>
    <row r="212" spans="1:9" x14ac:dyDescent="0.3">
      <c r="A212" s="343"/>
      <c r="B212" s="343"/>
      <c r="C212" s="405"/>
      <c r="D212" s="342"/>
      <c r="E212" s="104" t="s">
        <v>319</v>
      </c>
      <c r="F212" s="392"/>
      <c r="G212" s="392">
        <v>3.0258799999999999</v>
      </c>
      <c r="H212" s="392">
        <v>3.0258799999999999</v>
      </c>
      <c r="I212" s="393">
        <f t="shared" si="62"/>
        <v>100</v>
      </c>
    </row>
    <row r="213" spans="1:9" x14ac:dyDescent="0.3">
      <c r="A213" s="343"/>
      <c r="B213" s="343"/>
      <c r="C213" s="405"/>
      <c r="D213" s="342"/>
      <c r="E213" s="6" t="s">
        <v>352</v>
      </c>
      <c r="F213" s="392"/>
      <c r="G213" s="392">
        <v>0.12225999999999999</v>
      </c>
      <c r="H213" s="392">
        <v>0.12225999999999999</v>
      </c>
      <c r="I213" s="393">
        <f t="shared" si="62"/>
        <v>100</v>
      </c>
    </row>
    <row r="214" spans="1:9" ht="66.599999999999994" x14ac:dyDescent="0.3">
      <c r="A214" s="343"/>
      <c r="B214" s="343"/>
      <c r="C214" s="405" t="s">
        <v>861</v>
      </c>
      <c r="D214" s="342"/>
      <c r="E214" s="391" t="s">
        <v>862</v>
      </c>
      <c r="F214" s="392"/>
      <c r="G214" s="392">
        <f>G215</f>
        <v>22.05001</v>
      </c>
      <c r="H214" s="392">
        <f>H215</f>
        <v>22.05001</v>
      </c>
      <c r="I214" s="393">
        <f t="shared" si="62"/>
        <v>100</v>
      </c>
    </row>
    <row r="215" spans="1:9" x14ac:dyDescent="0.3">
      <c r="A215" s="343"/>
      <c r="B215" s="343"/>
      <c r="C215" s="405"/>
      <c r="D215" s="7" t="s">
        <v>12</v>
      </c>
      <c r="E215" s="6" t="s">
        <v>11</v>
      </c>
      <c r="F215" s="392"/>
      <c r="G215" s="392">
        <f>G216+G217+G218</f>
        <v>22.05001</v>
      </c>
      <c r="H215" s="392">
        <f>H216+H217+H218</f>
        <v>22.05001</v>
      </c>
      <c r="I215" s="393">
        <f t="shared" si="62"/>
        <v>100</v>
      </c>
    </row>
    <row r="216" spans="1:9" x14ac:dyDescent="0.3">
      <c r="A216" s="343"/>
      <c r="B216" s="343"/>
      <c r="C216" s="405"/>
      <c r="D216" s="342"/>
      <c r="E216" s="104" t="s">
        <v>863</v>
      </c>
      <c r="F216" s="392"/>
      <c r="G216" s="392">
        <v>16.372129999999999</v>
      </c>
      <c r="H216" s="392">
        <v>16.372129999999999</v>
      </c>
      <c r="I216" s="393">
        <f t="shared" si="62"/>
        <v>100</v>
      </c>
    </row>
    <row r="217" spans="1:9" x14ac:dyDescent="0.3">
      <c r="A217" s="343"/>
      <c r="B217" s="343"/>
      <c r="C217" s="405"/>
      <c r="D217" s="342"/>
      <c r="E217" s="104" t="s">
        <v>319</v>
      </c>
      <c r="F217" s="392"/>
      <c r="G217" s="392">
        <v>5.4573799999999997</v>
      </c>
      <c r="H217" s="392">
        <v>5.4573799999999997</v>
      </c>
      <c r="I217" s="393">
        <f t="shared" si="62"/>
        <v>100</v>
      </c>
    </row>
    <row r="218" spans="1:9" x14ac:dyDescent="0.3">
      <c r="A218" s="343"/>
      <c r="B218" s="343"/>
      <c r="C218" s="405"/>
      <c r="D218" s="342"/>
      <c r="E218" s="6" t="s">
        <v>352</v>
      </c>
      <c r="F218" s="392"/>
      <c r="G218" s="392">
        <v>0.2205</v>
      </c>
      <c r="H218" s="392">
        <v>0.2205</v>
      </c>
      <c r="I218" s="393">
        <f t="shared" si="62"/>
        <v>100</v>
      </c>
    </row>
    <row r="219" spans="1:9" x14ac:dyDescent="0.3">
      <c r="A219" s="112"/>
      <c r="B219" s="112"/>
      <c r="C219" s="49" t="s">
        <v>52</v>
      </c>
      <c r="D219" s="48"/>
      <c r="E219" s="111" t="s">
        <v>51</v>
      </c>
      <c r="F219" s="110">
        <f t="shared" ref="F219:H221" si="88">F220</f>
        <v>556.4</v>
      </c>
      <c r="G219" s="110">
        <f t="shared" si="88"/>
        <v>556.4</v>
      </c>
      <c r="H219" s="110">
        <f t="shared" si="88"/>
        <v>556.4</v>
      </c>
      <c r="I219" s="355">
        <f t="shared" si="62"/>
        <v>100</v>
      </c>
    </row>
    <row r="220" spans="1:9" ht="26.4" x14ac:dyDescent="0.3">
      <c r="A220" s="105"/>
      <c r="B220" s="105"/>
      <c r="C220" s="45" t="s">
        <v>16</v>
      </c>
      <c r="D220" s="44"/>
      <c r="E220" s="88" t="s">
        <v>15</v>
      </c>
      <c r="F220" s="109">
        <f t="shared" si="88"/>
        <v>556.4</v>
      </c>
      <c r="G220" s="109">
        <f t="shared" si="88"/>
        <v>556.4</v>
      </c>
      <c r="H220" s="109">
        <f t="shared" si="88"/>
        <v>556.4</v>
      </c>
      <c r="I220" s="370">
        <f t="shared" si="62"/>
        <v>100</v>
      </c>
    </row>
    <row r="221" spans="1:9" ht="26.4" x14ac:dyDescent="0.3">
      <c r="A221" s="8"/>
      <c r="B221" s="8"/>
      <c r="C221" s="7" t="s">
        <v>744</v>
      </c>
      <c r="D221" s="7"/>
      <c r="E221" s="264" t="s">
        <v>772</v>
      </c>
      <c r="F221" s="9">
        <f t="shared" si="88"/>
        <v>556.4</v>
      </c>
      <c r="G221" s="9">
        <f t="shared" si="88"/>
        <v>556.4</v>
      </c>
      <c r="H221" s="9">
        <f t="shared" si="88"/>
        <v>556.4</v>
      </c>
      <c r="I221" s="354">
        <f t="shared" si="62"/>
        <v>100</v>
      </c>
    </row>
    <row r="222" spans="1:9" ht="27" x14ac:dyDescent="0.3">
      <c r="A222" s="8"/>
      <c r="B222" s="8"/>
      <c r="C222" s="7"/>
      <c r="D222" s="7" t="s">
        <v>57</v>
      </c>
      <c r="E222" s="6" t="s">
        <v>56</v>
      </c>
      <c r="F222" s="9">
        <v>556.4</v>
      </c>
      <c r="G222" s="9">
        <v>556.4</v>
      </c>
      <c r="H222" s="9">
        <v>556.4</v>
      </c>
      <c r="I222" s="354">
        <f t="shared" si="62"/>
        <v>100</v>
      </c>
    </row>
    <row r="223" spans="1:9" x14ac:dyDescent="0.3">
      <c r="A223" s="21"/>
      <c r="B223" s="23" t="s">
        <v>425</v>
      </c>
      <c r="C223" s="22"/>
      <c r="D223" s="21"/>
      <c r="E223" s="20" t="s">
        <v>424</v>
      </c>
      <c r="F223" s="19">
        <f>F225</f>
        <v>5239.5630000000001</v>
      </c>
      <c r="G223" s="19">
        <f t="shared" ref="G223:H223" si="89">G225</f>
        <v>5239.5630000000001</v>
      </c>
      <c r="H223" s="19">
        <f t="shared" si="89"/>
        <v>5232.0810000000001</v>
      </c>
      <c r="I223" s="362">
        <f t="shared" si="62"/>
        <v>99.857201831526794</v>
      </c>
    </row>
    <row r="224" spans="1:9" x14ac:dyDescent="0.3">
      <c r="A224" s="21"/>
      <c r="B224" s="23"/>
      <c r="C224" s="22" t="s">
        <v>36</v>
      </c>
      <c r="D224" s="21"/>
      <c r="E224" s="28" t="s">
        <v>35</v>
      </c>
      <c r="F224" s="19">
        <f t="shared" ref="F224:H228" si="90">F225</f>
        <v>5239.5630000000001</v>
      </c>
      <c r="G224" s="19">
        <f t="shared" si="90"/>
        <v>5239.5630000000001</v>
      </c>
      <c r="H224" s="19">
        <f t="shared" si="90"/>
        <v>5232.0810000000001</v>
      </c>
      <c r="I224" s="362">
        <f t="shared" si="62"/>
        <v>99.857201831526794</v>
      </c>
    </row>
    <row r="225" spans="1:9" ht="26.4" x14ac:dyDescent="0.3">
      <c r="A225" s="34"/>
      <c r="B225" s="34"/>
      <c r="C225" s="35" t="s">
        <v>416</v>
      </c>
      <c r="D225" s="34"/>
      <c r="E225" s="33" t="s">
        <v>415</v>
      </c>
      <c r="F225" s="32">
        <f t="shared" si="90"/>
        <v>5239.5630000000001</v>
      </c>
      <c r="G225" s="32">
        <f t="shared" si="90"/>
        <v>5239.5630000000001</v>
      </c>
      <c r="H225" s="32">
        <f t="shared" si="90"/>
        <v>5232.0810000000001</v>
      </c>
      <c r="I225" s="351">
        <f t="shared" si="62"/>
        <v>99.857201831526794</v>
      </c>
    </row>
    <row r="226" spans="1:9" ht="27" x14ac:dyDescent="0.3">
      <c r="A226" s="31"/>
      <c r="B226" s="31"/>
      <c r="C226" s="31" t="s">
        <v>423</v>
      </c>
      <c r="D226" s="31"/>
      <c r="E226" s="52" t="s">
        <v>422</v>
      </c>
      <c r="F226" s="29">
        <f t="shared" si="90"/>
        <v>5239.5630000000001</v>
      </c>
      <c r="G226" s="29">
        <f t="shared" si="90"/>
        <v>5239.5630000000001</v>
      </c>
      <c r="H226" s="29">
        <f t="shared" si="90"/>
        <v>5232.0810000000001</v>
      </c>
      <c r="I226" s="352">
        <f t="shared" si="62"/>
        <v>99.857201831526794</v>
      </c>
    </row>
    <row r="227" spans="1:9" ht="27" x14ac:dyDescent="0.3">
      <c r="A227" s="190"/>
      <c r="B227" s="190"/>
      <c r="C227" s="190" t="s">
        <v>421</v>
      </c>
      <c r="D227" s="190"/>
      <c r="E227" s="191" t="s">
        <v>420</v>
      </c>
      <c r="F227" s="192">
        <f t="shared" si="90"/>
        <v>5239.5630000000001</v>
      </c>
      <c r="G227" s="192">
        <f t="shared" si="90"/>
        <v>5239.5630000000001</v>
      </c>
      <c r="H227" s="192">
        <f t="shared" si="90"/>
        <v>5232.0810000000001</v>
      </c>
      <c r="I227" s="353">
        <f t="shared" si="62"/>
        <v>99.857201831526794</v>
      </c>
    </row>
    <row r="228" spans="1:9" ht="40.200000000000003" x14ac:dyDescent="0.3">
      <c r="A228" s="8"/>
      <c r="B228" s="8"/>
      <c r="C228" s="7" t="s">
        <v>419</v>
      </c>
      <c r="D228" s="61"/>
      <c r="E228" s="6" t="s">
        <v>606</v>
      </c>
      <c r="F228" s="9">
        <f t="shared" si="90"/>
        <v>5239.5630000000001</v>
      </c>
      <c r="G228" s="9">
        <f t="shared" si="90"/>
        <v>5239.5630000000001</v>
      </c>
      <c r="H228" s="9">
        <f t="shared" si="90"/>
        <v>5232.0810000000001</v>
      </c>
      <c r="I228" s="354">
        <f t="shared" ref="I228:I288" si="91">H228/G228*100</f>
        <v>99.857201831526794</v>
      </c>
    </row>
    <row r="229" spans="1:9" x14ac:dyDescent="0.3">
      <c r="A229" s="8"/>
      <c r="B229" s="8"/>
      <c r="C229" s="7"/>
      <c r="D229" s="7" t="s">
        <v>12</v>
      </c>
      <c r="E229" s="6" t="s">
        <v>11</v>
      </c>
      <c r="F229" s="9">
        <v>5239.5630000000001</v>
      </c>
      <c r="G229" s="9">
        <v>5239.5630000000001</v>
      </c>
      <c r="H229" s="9">
        <v>5232.0810000000001</v>
      </c>
      <c r="I229" s="354">
        <f t="shared" si="91"/>
        <v>99.857201831526794</v>
      </c>
    </row>
    <row r="230" spans="1:9" x14ac:dyDescent="0.3">
      <c r="A230" s="37"/>
      <c r="B230" s="23" t="s">
        <v>418</v>
      </c>
      <c r="C230" s="22"/>
      <c r="D230" s="21"/>
      <c r="E230" s="20" t="s">
        <v>417</v>
      </c>
      <c r="F230" s="19">
        <f t="shared" ref="F230:H231" si="92">F231</f>
        <v>127646.12831000001</v>
      </c>
      <c r="G230" s="19">
        <f t="shared" si="92"/>
        <v>152559.42155</v>
      </c>
      <c r="H230" s="19">
        <f t="shared" si="92"/>
        <v>151835.34297</v>
      </c>
      <c r="I230" s="362">
        <f t="shared" si="91"/>
        <v>99.525379309489125</v>
      </c>
    </row>
    <row r="231" spans="1:9" x14ac:dyDescent="0.3">
      <c r="A231" s="37"/>
      <c r="B231" s="23"/>
      <c r="C231" s="22" t="s">
        <v>36</v>
      </c>
      <c r="D231" s="21"/>
      <c r="E231" s="28" t="s">
        <v>35</v>
      </c>
      <c r="F231" s="19">
        <f t="shared" si="92"/>
        <v>127646.12831000001</v>
      </c>
      <c r="G231" s="19">
        <f t="shared" si="92"/>
        <v>152559.42155</v>
      </c>
      <c r="H231" s="19">
        <f t="shared" si="92"/>
        <v>151835.34297</v>
      </c>
      <c r="I231" s="362">
        <f t="shared" si="91"/>
        <v>99.525379309489125</v>
      </c>
    </row>
    <row r="232" spans="1:9" ht="26.4" x14ac:dyDescent="0.3">
      <c r="A232" s="34"/>
      <c r="B232" s="34"/>
      <c r="C232" s="35" t="s">
        <v>416</v>
      </c>
      <c r="D232" s="34"/>
      <c r="E232" s="33" t="s">
        <v>415</v>
      </c>
      <c r="F232" s="32">
        <f>F233+F258</f>
        <v>127646.12831000001</v>
      </c>
      <c r="G232" s="32">
        <f>G233+G258</f>
        <v>152559.42155</v>
      </c>
      <c r="H232" s="32">
        <f>H233+H258</f>
        <v>151835.34297</v>
      </c>
      <c r="I232" s="351">
        <f t="shared" si="91"/>
        <v>99.525379309489125</v>
      </c>
    </row>
    <row r="233" spans="1:9" ht="27" x14ac:dyDescent="0.3">
      <c r="A233" s="31"/>
      <c r="B233" s="31"/>
      <c r="C233" s="31" t="s">
        <v>414</v>
      </c>
      <c r="D233" s="31"/>
      <c r="E233" s="52" t="s">
        <v>413</v>
      </c>
      <c r="F233" s="29">
        <f>F234+F237+F240+F249+F252</f>
        <v>126646.25606000001</v>
      </c>
      <c r="G233" s="29">
        <f>G234+G237+G240+G249+G252</f>
        <v>151559.54930000001</v>
      </c>
      <c r="H233" s="29">
        <f>H234+H237+H240+H249+H252</f>
        <v>150861.17071999999</v>
      </c>
      <c r="I233" s="352">
        <f t="shared" si="91"/>
        <v>99.539205161782562</v>
      </c>
    </row>
    <row r="234" spans="1:9" ht="27" x14ac:dyDescent="0.3">
      <c r="A234" s="190"/>
      <c r="B234" s="190"/>
      <c r="C234" s="190" t="s">
        <v>412</v>
      </c>
      <c r="D234" s="190"/>
      <c r="E234" s="191" t="s">
        <v>829</v>
      </c>
      <c r="F234" s="192">
        <f>F235</f>
        <v>539.5</v>
      </c>
      <c r="G234" s="192">
        <f t="shared" ref="G234:H234" si="93">G235</f>
        <v>539.5</v>
      </c>
      <c r="H234" s="192">
        <f t="shared" si="93"/>
        <v>539.5</v>
      </c>
      <c r="I234" s="353">
        <f t="shared" si="91"/>
        <v>100</v>
      </c>
    </row>
    <row r="235" spans="1:9" x14ac:dyDescent="0.3">
      <c r="A235" s="7"/>
      <c r="B235" s="7"/>
      <c r="C235" s="7" t="s">
        <v>828</v>
      </c>
      <c r="D235" s="61"/>
      <c r="E235" s="6" t="s">
        <v>827</v>
      </c>
      <c r="F235" s="9">
        <f>SUM(F236)</f>
        <v>539.5</v>
      </c>
      <c r="G235" s="9">
        <f t="shared" ref="G235:H235" si="94">SUM(G236)</f>
        <v>539.5</v>
      </c>
      <c r="H235" s="9">
        <f t="shared" si="94"/>
        <v>539.5</v>
      </c>
      <c r="I235" s="354">
        <f t="shared" si="91"/>
        <v>100</v>
      </c>
    </row>
    <row r="236" spans="1:9" x14ac:dyDescent="0.3">
      <c r="A236" s="7"/>
      <c r="B236" s="7"/>
      <c r="C236" s="7"/>
      <c r="D236" s="7" t="s">
        <v>12</v>
      </c>
      <c r="E236" s="6" t="s">
        <v>11</v>
      </c>
      <c r="F236" s="9">
        <v>539.5</v>
      </c>
      <c r="G236" s="9">
        <v>539.5</v>
      </c>
      <c r="H236" s="9">
        <v>539.5</v>
      </c>
      <c r="I236" s="354">
        <f t="shared" si="91"/>
        <v>100</v>
      </c>
    </row>
    <row r="237" spans="1:9" x14ac:dyDescent="0.3">
      <c r="A237" s="190"/>
      <c r="B237" s="190"/>
      <c r="C237" s="190" t="s">
        <v>411</v>
      </c>
      <c r="D237" s="190"/>
      <c r="E237" s="191" t="s">
        <v>410</v>
      </c>
      <c r="F237" s="192">
        <f>F238</f>
        <v>200</v>
      </c>
      <c r="G237" s="192">
        <f t="shared" ref="G237:H237" si="95">G238</f>
        <v>200</v>
      </c>
      <c r="H237" s="192">
        <f t="shared" si="95"/>
        <v>200</v>
      </c>
      <c r="I237" s="353">
        <f t="shared" si="91"/>
        <v>100</v>
      </c>
    </row>
    <row r="238" spans="1:9" ht="27" x14ac:dyDescent="0.3">
      <c r="A238" s="7"/>
      <c r="B238" s="7"/>
      <c r="C238" s="7" t="s">
        <v>770</v>
      </c>
      <c r="D238" s="61"/>
      <c r="E238" s="6" t="s">
        <v>580</v>
      </c>
      <c r="F238" s="9">
        <f>F239</f>
        <v>200</v>
      </c>
      <c r="G238" s="9">
        <f t="shared" ref="G238:H238" si="96">G239</f>
        <v>200</v>
      </c>
      <c r="H238" s="9">
        <f t="shared" si="96"/>
        <v>200</v>
      </c>
      <c r="I238" s="354">
        <f t="shared" si="91"/>
        <v>100</v>
      </c>
    </row>
    <row r="239" spans="1:9" x14ac:dyDescent="0.3">
      <c r="A239" s="7"/>
      <c r="B239" s="7"/>
      <c r="C239" s="7"/>
      <c r="D239" s="7" t="s">
        <v>12</v>
      </c>
      <c r="E239" s="6" t="s">
        <v>11</v>
      </c>
      <c r="F239" s="9">
        <v>200</v>
      </c>
      <c r="G239" s="9">
        <v>200</v>
      </c>
      <c r="H239" s="9">
        <v>200</v>
      </c>
      <c r="I239" s="354">
        <f t="shared" si="91"/>
        <v>100</v>
      </c>
    </row>
    <row r="240" spans="1:9" ht="27" x14ac:dyDescent="0.3">
      <c r="A240" s="190"/>
      <c r="B240" s="190"/>
      <c r="C240" s="190" t="s">
        <v>409</v>
      </c>
      <c r="D240" s="190"/>
      <c r="E240" s="191" t="s">
        <v>408</v>
      </c>
      <c r="F240" s="192">
        <f t="shared" ref="F240:H240" si="97">F241+F245+F247</f>
        <v>43647.675919999994</v>
      </c>
      <c r="G240" s="192">
        <f t="shared" si="97"/>
        <v>43580.471489999996</v>
      </c>
      <c r="H240" s="192">
        <f t="shared" si="97"/>
        <v>43580.471489999996</v>
      </c>
      <c r="I240" s="353">
        <f t="shared" si="91"/>
        <v>100</v>
      </c>
    </row>
    <row r="241" spans="1:9" x14ac:dyDescent="0.3">
      <c r="A241" s="7"/>
      <c r="B241" s="7"/>
      <c r="C241" s="7" t="s">
        <v>765</v>
      </c>
      <c r="D241" s="61"/>
      <c r="E241" s="6" t="s">
        <v>407</v>
      </c>
      <c r="F241" s="9">
        <f>F243+F244</f>
        <v>29022.643989999997</v>
      </c>
      <c r="G241" s="9">
        <f t="shared" ref="G241:H241" si="98">G243+G244</f>
        <v>28955.439559999999</v>
      </c>
      <c r="H241" s="9">
        <f t="shared" si="98"/>
        <v>28955.439559999999</v>
      </c>
      <c r="I241" s="354">
        <f t="shared" si="91"/>
        <v>100</v>
      </c>
    </row>
    <row r="242" spans="1:9" x14ac:dyDescent="0.3">
      <c r="A242" s="7"/>
      <c r="B242" s="7"/>
      <c r="C242" s="7"/>
      <c r="D242" s="7" t="s">
        <v>12</v>
      </c>
      <c r="E242" s="6" t="s">
        <v>11</v>
      </c>
      <c r="F242" s="9">
        <f>SUM(F243+F244)</f>
        <v>29022.643989999997</v>
      </c>
      <c r="G242" s="9">
        <f t="shared" ref="G242:H242" si="99">SUM(G243+G244)</f>
        <v>28955.439559999999</v>
      </c>
      <c r="H242" s="9">
        <f t="shared" si="99"/>
        <v>28955.439559999999</v>
      </c>
      <c r="I242" s="354">
        <f t="shared" si="91"/>
        <v>100</v>
      </c>
    </row>
    <row r="243" spans="1:9" x14ac:dyDescent="0.3">
      <c r="A243" s="7"/>
      <c r="B243" s="7"/>
      <c r="C243" s="7"/>
      <c r="D243" s="7"/>
      <c r="E243" s="6" t="s">
        <v>222</v>
      </c>
      <c r="F243" s="9">
        <v>26127.1</v>
      </c>
      <c r="G243" s="9">
        <v>26059.895570000001</v>
      </c>
      <c r="H243" s="9">
        <v>26059.895570000001</v>
      </c>
      <c r="I243" s="354">
        <f t="shared" si="91"/>
        <v>100</v>
      </c>
    </row>
    <row r="244" spans="1:9" x14ac:dyDescent="0.3">
      <c r="A244" s="7"/>
      <c r="B244" s="7"/>
      <c r="C244" s="7"/>
      <c r="D244" s="7"/>
      <c r="E244" s="6" t="s">
        <v>106</v>
      </c>
      <c r="F244" s="9">
        <v>2895.5439900000001</v>
      </c>
      <c r="G244" s="9">
        <v>2895.5439900000001</v>
      </c>
      <c r="H244" s="9">
        <v>2895.5439900000001</v>
      </c>
      <c r="I244" s="354">
        <f t="shared" si="91"/>
        <v>100</v>
      </c>
    </row>
    <row r="245" spans="1:9" x14ac:dyDescent="0.3">
      <c r="A245" s="7"/>
      <c r="B245" s="7"/>
      <c r="C245" s="7" t="s">
        <v>769</v>
      </c>
      <c r="D245" s="61"/>
      <c r="E245" s="6" t="s">
        <v>406</v>
      </c>
      <c r="F245" s="9">
        <f>F246</f>
        <v>4858.5</v>
      </c>
      <c r="G245" s="9">
        <f t="shared" ref="G245:H245" si="100">G246</f>
        <v>4858.5</v>
      </c>
      <c r="H245" s="9">
        <f t="shared" si="100"/>
        <v>4858.5</v>
      </c>
      <c r="I245" s="354">
        <f t="shared" si="91"/>
        <v>100</v>
      </c>
    </row>
    <row r="246" spans="1:9" x14ac:dyDescent="0.3">
      <c r="A246" s="7"/>
      <c r="B246" s="7"/>
      <c r="C246" s="7"/>
      <c r="D246" s="7" t="s">
        <v>12</v>
      </c>
      <c r="E246" s="6" t="s">
        <v>11</v>
      </c>
      <c r="F246" s="9">
        <f>4060.9+797.6</f>
        <v>4858.5</v>
      </c>
      <c r="G246" s="9">
        <f t="shared" ref="G246:H246" si="101">4060.9+797.6</f>
        <v>4858.5</v>
      </c>
      <c r="H246" s="9">
        <f t="shared" si="101"/>
        <v>4858.5</v>
      </c>
      <c r="I246" s="354">
        <f t="shared" si="91"/>
        <v>100</v>
      </c>
    </row>
    <row r="247" spans="1:9" x14ac:dyDescent="0.3">
      <c r="A247" s="7"/>
      <c r="B247" s="7"/>
      <c r="C247" s="7" t="s">
        <v>768</v>
      </c>
      <c r="D247" s="61"/>
      <c r="E247" s="6" t="s">
        <v>405</v>
      </c>
      <c r="F247" s="9">
        <f t="shared" ref="F247:H247" si="102">F248</f>
        <v>9766.5319299999992</v>
      </c>
      <c r="G247" s="9">
        <f t="shared" si="102"/>
        <v>9766.5319299999992</v>
      </c>
      <c r="H247" s="9">
        <f t="shared" si="102"/>
        <v>9766.5319299999992</v>
      </c>
      <c r="I247" s="354">
        <f t="shared" si="91"/>
        <v>100</v>
      </c>
    </row>
    <row r="248" spans="1:9" x14ac:dyDescent="0.3">
      <c r="A248" s="98"/>
      <c r="B248" s="98"/>
      <c r="C248" s="98"/>
      <c r="D248" s="7" t="s">
        <v>12</v>
      </c>
      <c r="E248" s="6" t="s">
        <v>11</v>
      </c>
      <c r="F248" s="9">
        <v>9766.5319299999992</v>
      </c>
      <c r="G248" s="9">
        <v>9766.5319299999992</v>
      </c>
      <c r="H248" s="9">
        <v>9766.5319299999992</v>
      </c>
      <c r="I248" s="354">
        <f t="shared" si="91"/>
        <v>100</v>
      </c>
    </row>
    <row r="249" spans="1:9" x14ac:dyDescent="0.3">
      <c r="A249" s="190"/>
      <c r="B249" s="190"/>
      <c r="C249" s="190" t="s">
        <v>404</v>
      </c>
      <c r="D249" s="190"/>
      <c r="E249" s="191" t="s">
        <v>403</v>
      </c>
      <c r="F249" s="192">
        <f t="shared" ref="F249:H250" si="103">F250</f>
        <v>31983.9</v>
      </c>
      <c r="G249" s="192">
        <f t="shared" si="103"/>
        <v>31983.9</v>
      </c>
      <c r="H249" s="192">
        <f t="shared" si="103"/>
        <v>31285.521420000001</v>
      </c>
      <c r="I249" s="353">
        <f t="shared" si="91"/>
        <v>97.816468348137647</v>
      </c>
    </row>
    <row r="250" spans="1:9" ht="27" x14ac:dyDescent="0.3">
      <c r="A250" s="7"/>
      <c r="B250" s="7"/>
      <c r="C250" s="7" t="s">
        <v>767</v>
      </c>
      <c r="D250" s="61"/>
      <c r="E250" s="6" t="s">
        <v>402</v>
      </c>
      <c r="F250" s="9">
        <f t="shared" si="103"/>
        <v>31983.9</v>
      </c>
      <c r="G250" s="9">
        <f t="shared" si="103"/>
        <v>31983.9</v>
      </c>
      <c r="H250" s="9">
        <f t="shared" si="103"/>
        <v>31285.521420000001</v>
      </c>
      <c r="I250" s="354">
        <f t="shared" si="91"/>
        <v>97.816468348137647</v>
      </c>
    </row>
    <row r="251" spans="1:9" x14ac:dyDescent="0.3">
      <c r="A251" s="7"/>
      <c r="B251" s="7"/>
      <c r="C251" s="7"/>
      <c r="D251" s="7" t="s">
        <v>12</v>
      </c>
      <c r="E251" s="6" t="s">
        <v>11</v>
      </c>
      <c r="F251" s="9">
        <v>31983.9</v>
      </c>
      <c r="G251" s="9">
        <v>31983.9</v>
      </c>
      <c r="H251" s="9">
        <v>31285.521420000001</v>
      </c>
      <c r="I251" s="354">
        <f t="shared" si="91"/>
        <v>97.816468348137647</v>
      </c>
    </row>
    <row r="252" spans="1:9" ht="27" x14ac:dyDescent="0.3">
      <c r="A252" s="190"/>
      <c r="B252" s="190"/>
      <c r="C252" s="190" t="s">
        <v>798</v>
      </c>
      <c r="D252" s="190"/>
      <c r="E252" s="191" t="s">
        <v>401</v>
      </c>
      <c r="F252" s="192">
        <f t="shared" ref="F252:H253" si="104">F253</f>
        <v>50275.180140000004</v>
      </c>
      <c r="G252" s="192">
        <f t="shared" si="104"/>
        <v>75255.677810000008</v>
      </c>
      <c r="H252" s="192">
        <f t="shared" si="104"/>
        <v>75255.677810000008</v>
      </c>
      <c r="I252" s="353">
        <f t="shared" si="91"/>
        <v>100</v>
      </c>
    </row>
    <row r="253" spans="1:9" x14ac:dyDescent="0.3">
      <c r="A253" s="7"/>
      <c r="B253" s="7"/>
      <c r="C253" s="7" t="s">
        <v>799</v>
      </c>
      <c r="D253" s="7"/>
      <c r="E253" s="6" t="s">
        <v>400</v>
      </c>
      <c r="F253" s="9">
        <f t="shared" si="104"/>
        <v>50275.180140000004</v>
      </c>
      <c r="G253" s="9">
        <f t="shared" si="104"/>
        <v>75255.677810000008</v>
      </c>
      <c r="H253" s="9">
        <f t="shared" si="104"/>
        <v>75255.677810000008</v>
      </c>
      <c r="I253" s="354">
        <f t="shared" si="91"/>
        <v>100</v>
      </c>
    </row>
    <row r="254" spans="1:9" x14ac:dyDescent="0.3">
      <c r="A254" s="7"/>
      <c r="B254" s="7"/>
      <c r="C254" s="7"/>
      <c r="D254" s="7" t="s">
        <v>12</v>
      </c>
      <c r="E254" s="6" t="s">
        <v>11</v>
      </c>
      <c r="F254" s="9">
        <f t="shared" ref="F254:H254" si="105">F255+F256+F257</f>
        <v>50275.180140000004</v>
      </c>
      <c r="G254" s="9">
        <f t="shared" si="105"/>
        <v>75255.677810000008</v>
      </c>
      <c r="H254" s="9">
        <f t="shared" si="105"/>
        <v>75255.677810000008</v>
      </c>
      <c r="I254" s="354">
        <f t="shared" si="91"/>
        <v>100</v>
      </c>
    </row>
    <row r="255" spans="1:9" x14ac:dyDescent="0.3">
      <c r="A255" s="7"/>
      <c r="B255" s="7"/>
      <c r="C255" s="7"/>
      <c r="D255" s="7"/>
      <c r="E255" s="6" t="s">
        <v>109</v>
      </c>
      <c r="F255" s="9">
        <v>47403.956680000003</v>
      </c>
      <c r="G255" s="9">
        <v>71884.223440000002</v>
      </c>
      <c r="H255" s="9">
        <v>71884.223440000002</v>
      </c>
      <c r="I255" s="354">
        <f t="shared" si="91"/>
        <v>100</v>
      </c>
    </row>
    <row r="256" spans="1:9" x14ac:dyDescent="0.3">
      <c r="A256" s="7"/>
      <c r="B256" s="7"/>
      <c r="C256" s="7"/>
      <c r="D256" s="7"/>
      <c r="E256" s="6" t="s">
        <v>108</v>
      </c>
      <c r="F256" s="9">
        <v>2494.9450700000002</v>
      </c>
      <c r="G256" s="9">
        <v>2995.17598</v>
      </c>
      <c r="H256" s="9">
        <v>2995.17598</v>
      </c>
      <c r="I256" s="354">
        <f t="shared" si="91"/>
        <v>100</v>
      </c>
    </row>
    <row r="257" spans="1:9" x14ac:dyDescent="0.3">
      <c r="A257" s="7"/>
      <c r="B257" s="7"/>
      <c r="C257" s="7"/>
      <c r="D257" s="7"/>
      <c r="E257" s="6" t="s">
        <v>106</v>
      </c>
      <c r="F257" s="9">
        <v>376.27839000000006</v>
      </c>
      <c r="G257" s="9">
        <v>376.27839000000006</v>
      </c>
      <c r="H257" s="9">
        <v>376.27839000000006</v>
      </c>
      <c r="I257" s="354">
        <f t="shared" si="91"/>
        <v>100</v>
      </c>
    </row>
    <row r="258" spans="1:9" ht="27" x14ac:dyDescent="0.3">
      <c r="A258" s="31"/>
      <c r="B258" s="31"/>
      <c r="C258" s="31" t="s">
        <v>399</v>
      </c>
      <c r="D258" s="31"/>
      <c r="E258" s="52" t="s">
        <v>398</v>
      </c>
      <c r="F258" s="29">
        <f t="shared" ref="F258:H258" si="106">F259+F262</f>
        <v>999.87225000000012</v>
      </c>
      <c r="G258" s="29">
        <f t="shared" si="106"/>
        <v>999.87225000000012</v>
      </c>
      <c r="H258" s="29">
        <f t="shared" si="106"/>
        <v>974.17225000000008</v>
      </c>
      <c r="I258" s="352">
        <f t="shared" si="91"/>
        <v>97.429671640552073</v>
      </c>
    </row>
    <row r="259" spans="1:9" ht="27" x14ac:dyDescent="0.3">
      <c r="A259" s="190"/>
      <c r="B259" s="190"/>
      <c r="C259" s="190" t="s">
        <v>397</v>
      </c>
      <c r="D259" s="190"/>
      <c r="E259" s="203" t="s">
        <v>396</v>
      </c>
      <c r="F259" s="192">
        <f t="shared" ref="F259:H260" si="107">F260</f>
        <v>967.17225000000008</v>
      </c>
      <c r="G259" s="192">
        <f t="shared" si="107"/>
        <v>967.17225000000008</v>
      </c>
      <c r="H259" s="192">
        <f t="shared" si="107"/>
        <v>967.17225000000008</v>
      </c>
      <c r="I259" s="353">
        <f t="shared" si="91"/>
        <v>100</v>
      </c>
    </row>
    <row r="260" spans="1:9" ht="27" x14ac:dyDescent="0.3">
      <c r="A260" s="8"/>
      <c r="B260" s="8"/>
      <c r="C260" s="7" t="s">
        <v>766</v>
      </c>
      <c r="D260" s="7"/>
      <c r="E260" s="104" t="s">
        <v>395</v>
      </c>
      <c r="F260" s="9">
        <f t="shared" si="107"/>
        <v>967.17225000000008</v>
      </c>
      <c r="G260" s="9">
        <f t="shared" si="107"/>
        <v>967.17225000000008</v>
      </c>
      <c r="H260" s="9">
        <f t="shared" si="107"/>
        <v>967.17225000000008</v>
      </c>
      <c r="I260" s="354">
        <f t="shared" si="91"/>
        <v>100</v>
      </c>
    </row>
    <row r="261" spans="1:9" x14ac:dyDescent="0.3">
      <c r="A261" s="8"/>
      <c r="B261" s="8"/>
      <c r="C261" s="7"/>
      <c r="D261" s="7" t="s">
        <v>12</v>
      </c>
      <c r="E261" s="6" t="s">
        <v>11</v>
      </c>
      <c r="F261" s="9">
        <v>967.17225000000008</v>
      </c>
      <c r="G261" s="9">
        <v>967.17225000000008</v>
      </c>
      <c r="H261" s="9">
        <v>967.17225000000008</v>
      </c>
      <c r="I261" s="354">
        <f t="shared" si="91"/>
        <v>100</v>
      </c>
    </row>
    <row r="262" spans="1:9" ht="27" x14ac:dyDescent="0.3">
      <c r="A262" s="190"/>
      <c r="B262" s="190"/>
      <c r="C262" s="190" t="s">
        <v>795</v>
      </c>
      <c r="D262" s="190"/>
      <c r="E262" s="203" t="s">
        <v>796</v>
      </c>
      <c r="F262" s="202">
        <f>F263</f>
        <v>32.700000000000003</v>
      </c>
      <c r="G262" s="202">
        <f t="shared" ref="G262:H263" si="108">G263</f>
        <v>32.700000000000003</v>
      </c>
      <c r="H262" s="202">
        <f t="shared" si="108"/>
        <v>7</v>
      </c>
      <c r="I262" s="371">
        <f t="shared" si="91"/>
        <v>21.406727828746174</v>
      </c>
    </row>
    <row r="263" spans="1:9" ht="27" x14ac:dyDescent="0.3">
      <c r="A263" s="292"/>
      <c r="B263" s="292"/>
      <c r="C263" s="278" t="s">
        <v>846</v>
      </c>
      <c r="D263" s="278"/>
      <c r="E263" s="287" t="s">
        <v>797</v>
      </c>
      <c r="F263" s="291">
        <f>F264</f>
        <v>32.700000000000003</v>
      </c>
      <c r="G263" s="291">
        <f t="shared" si="108"/>
        <v>32.700000000000003</v>
      </c>
      <c r="H263" s="291">
        <f t="shared" si="108"/>
        <v>7</v>
      </c>
      <c r="I263" s="372">
        <f t="shared" si="91"/>
        <v>21.406727828746174</v>
      </c>
    </row>
    <row r="264" spans="1:9" x14ac:dyDescent="0.3">
      <c r="A264" s="292"/>
      <c r="B264" s="292"/>
      <c r="C264" s="278"/>
      <c r="D264" s="7" t="s">
        <v>12</v>
      </c>
      <c r="E264" s="6" t="s">
        <v>11</v>
      </c>
      <c r="F264" s="291">
        <v>32.700000000000003</v>
      </c>
      <c r="G264" s="291">
        <v>32.700000000000003</v>
      </c>
      <c r="H264" s="291">
        <v>7</v>
      </c>
      <c r="I264" s="372">
        <f t="shared" si="91"/>
        <v>21.406727828746174</v>
      </c>
    </row>
    <row r="265" spans="1:9" x14ac:dyDescent="0.3">
      <c r="A265" s="8"/>
      <c r="B265" s="23" t="s">
        <v>394</v>
      </c>
      <c r="C265" s="57"/>
      <c r="D265" s="37"/>
      <c r="E265" s="20" t="s">
        <v>393</v>
      </c>
      <c r="F265" s="27">
        <f>F266+F304</f>
        <v>18179.743999999999</v>
      </c>
      <c r="G265" s="27">
        <f>G266+G304</f>
        <v>18955.096539999999</v>
      </c>
      <c r="H265" s="27">
        <f>H266+H304</f>
        <v>18168.472429999998</v>
      </c>
      <c r="I265" s="358">
        <f t="shared" si="91"/>
        <v>95.850065398822807</v>
      </c>
    </row>
    <row r="266" spans="1:9" x14ac:dyDescent="0.3">
      <c r="A266" s="8"/>
      <c r="B266" s="23"/>
      <c r="C266" s="22" t="s">
        <v>36</v>
      </c>
      <c r="D266" s="21"/>
      <c r="E266" s="28" t="s">
        <v>35</v>
      </c>
      <c r="F266" s="27">
        <f>F267+F277+F292</f>
        <v>14882.043999999998</v>
      </c>
      <c r="G266" s="27">
        <f>G267+G277+G292</f>
        <v>15613.981539999999</v>
      </c>
      <c r="H266" s="27">
        <f>H267+H277+H292</f>
        <v>14827.404849999999</v>
      </c>
      <c r="I266" s="358">
        <f t="shared" si="91"/>
        <v>94.96235673146569</v>
      </c>
    </row>
    <row r="267" spans="1:9" s="108" customFormat="1" ht="26.4" x14ac:dyDescent="0.3">
      <c r="A267" s="34"/>
      <c r="B267" s="34"/>
      <c r="C267" s="35" t="s">
        <v>271</v>
      </c>
      <c r="D267" s="34"/>
      <c r="E267" s="33" t="s">
        <v>270</v>
      </c>
      <c r="F267" s="32">
        <f>F268+F274</f>
        <v>6222.4</v>
      </c>
      <c r="G267" s="32">
        <f t="shared" ref="G267:H267" si="109">G268+G274</f>
        <v>6523.7766899999997</v>
      </c>
      <c r="H267" s="32">
        <f t="shared" si="109"/>
        <v>6339.1862000000001</v>
      </c>
      <c r="I267" s="351">
        <f t="shared" si="91"/>
        <v>97.170496496562336</v>
      </c>
    </row>
    <row r="268" spans="1:9" ht="27" x14ac:dyDescent="0.3">
      <c r="A268" s="190"/>
      <c r="B268" s="190"/>
      <c r="C268" s="190" t="s">
        <v>269</v>
      </c>
      <c r="D268" s="190"/>
      <c r="E268" s="191" t="s">
        <v>268</v>
      </c>
      <c r="F268" s="192">
        <f>F269+F272</f>
        <v>1579.2</v>
      </c>
      <c r="G268" s="192">
        <f t="shared" ref="G268:H268" si="110">G269+G272</f>
        <v>1880.5766899999999</v>
      </c>
      <c r="H268" s="192">
        <f t="shared" si="110"/>
        <v>1696.0462</v>
      </c>
      <c r="I268" s="353">
        <f t="shared" si="91"/>
        <v>90.187558370725114</v>
      </c>
    </row>
    <row r="269" spans="1:9" ht="39.6" x14ac:dyDescent="0.3">
      <c r="A269" s="8"/>
      <c r="B269" s="8"/>
      <c r="C269" s="7" t="s">
        <v>392</v>
      </c>
      <c r="D269" s="7"/>
      <c r="E269" s="107" t="s">
        <v>674</v>
      </c>
      <c r="F269" s="9">
        <f t="shared" ref="F269:H272" si="111">F270</f>
        <v>1370.6000000000001</v>
      </c>
      <c r="G269" s="9">
        <f>G270+G271</f>
        <v>1671.97669</v>
      </c>
      <c r="H269" s="9">
        <f>H270+H271</f>
        <v>1636.0462</v>
      </c>
      <c r="I269" s="354">
        <f t="shared" si="91"/>
        <v>97.851017289002996</v>
      </c>
    </row>
    <row r="270" spans="1:9" x14ac:dyDescent="0.3">
      <c r="A270" s="8"/>
      <c r="B270" s="8"/>
      <c r="C270" s="7"/>
      <c r="D270" s="7" t="s">
        <v>12</v>
      </c>
      <c r="E270" s="6" t="s">
        <v>11</v>
      </c>
      <c r="F270" s="9">
        <v>1370.6000000000001</v>
      </c>
      <c r="G270" s="9">
        <v>1162.48846</v>
      </c>
      <c r="H270" s="9">
        <v>1126.5579700000001</v>
      </c>
      <c r="I270" s="354">
        <f t="shared" si="91"/>
        <v>96.909174479030952</v>
      </c>
    </row>
    <row r="271" spans="1:9" x14ac:dyDescent="0.3">
      <c r="A271" s="343"/>
      <c r="B271" s="343"/>
      <c r="C271" s="342"/>
      <c r="D271" s="342" t="s">
        <v>22</v>
      </c>
      <c r="E271" s="391" t="s">
        <v>21</v>
      </c>
      <c r="F271" s="344"/>
      <c r="G271" s="344">
        <v>509.48822999999999</v>
      </c>
      <c r="H271" s="344">
        <v>509.48822999999999</v>
      </c>
      <c r="I271" s="354">
        <f t="shared" si="91"/>
        <v>100</v>
      </c>
    </row>
    <row r="272" spans="1:9" x14ac:dyDescent="0.3">
      <c r="A272" s="8"/>
      <c r="B272" s="8"/>
      <c r="C272" s="7" t="s">
        <v>849</v>
      </c>
      <c r="D272" s="7"/>
      <c r="E272" s="6" t="s">
        <v>850</v>
      </c>
      <c r="F272" s="9">
        <f t="shared" si="111"/>
        <v>208.6</v>
      </c>
      <c r="G272" s="9">
        <f t="shared" si="111"/>
        <v>208.6</v>
      </c>
      <c r="H272" s="9">
        <f t="shared" si="111"/>
        <v>60</v>
      </c>
      <c r="I272" s="354">
        <f t="shared" si="91"/>
        <v>28.763183125599234</v>
      </c>
    </row>
    <row r="273" spans="1:9" x14ac:dyDescent="0.3">
      <c r="A273" s="343"/>
      <c r="B273" s="343"/>
      <c r="C273" s="342"/>
      <c r="D273" s="342" t="s">
        <v>79</v>
      </c>
      <c r="E273" s="6" t="s">
        <v>78</v>
      </c>
      <c r="F273" s="344">
        <v>208.6</v>
      </c>
      <c r="G273" s="344">
        <v>208.6</v>
      </c>
      <c r="H273" s="344">
        <v>60</v>
      </c>
      <c r="I273" s="357">
        <f t="shared" si="91"/>
        <v>28.763183125599234</v>
      </c>
    </row>
    <row r="274" spans="1:9" ht="27" x14ac:dyDescent="0.3">
      <c r="A274" s="194"/>
      <c r="B274" s="194"/>
      <c r="C274" s="190" t="s">
        <v>391</v>
      </c>
      <c r="D274" s="190"/>
      <c r="E274" s="191" t="s">
        <v>390</v>
      </c>
      <c r="F274" s="192">
        <f t="shared" ref="F274:H275" si="112">F275</f>
        <v>4643.2</v>
      </c>
      <c r="G274" s="192">
        <f t="shared" si="112"/>
        <v>4643.2</v>
      </c>
      <c r="H274" s="192">
        <f t="shared" si="112"/>
        <v>4643.1400000000003</v>
      </c>
      <c r="I274" s="353">
        <f t="shared" si="91"/>
        <v>99.998707787732613</v>
      </c>
    </row>
    <row r="275" spans="1:9" x14ac:dyDescent="0.3">
      <c r="A275" s="8"/>
      <c r="B275" s="8"/>
      <c r="C275" s="7" t="s">
        <v>389</v>
      </c>
      <c r="D275" s="7"/>
      <c r="E275" s="81" t="s">
        <v>388</v>
      </c>
      <c r="F275" s="9">
        <f t="shared" si="112"/>
        <v>4643.2</v>
      </c>
      <c r="G275" s="9">
        <f t="shared" si="112"/>
        <v>4643.2</v>
      </c>
      <c r="H275" s="9">
        <f t="shared" si="112"/>
        <v>4643.1400000000003</v>
      </c>
      <c r="I275" s="354">
        <f t="shared" si="91"/>
        <v>99.998707787732613</v>
      </c>
    </row>
    <row r="276" spans="1:9" ht="27" x14ac:dyDescent="0.3">
      <c r="A276" s="8"/>
      <c r="B276" s="8"/>
      <c r="C276" s="7"/>
      <c r="D276" s="7" t="s">
        <v>260</v>
      </c>
      <c r="E276" s="6" t="s">
        <v>259</v>
      </c>
      <c r="F276" s="5">
        <v>4643.2</v>
      </c>
      <c r="G276" s="5">
        <v>4643.2</v>
      </c>
      <c r="H276" s="5">
        <v>4643.1400000000003</v>
      </c>
      <c r="I276" s="359">
        <f t="shared" si="91"/>
        <v>99.998707787732613</v>
      </c>
    </row>
    <row r="277" spans="1:9" ht="26.4" x14ac:dyDescent="0.3">
      <c r="A277" s="34"/>
      <c r="B277" s="34"/>
      <c r="C277" s="35" t="s">
        <v>387</v>
      </c>
      <c r="D277" s="34"/>
      <c r="E277" s="33" t="s">
        <v>386</v>
      </c>
      <c r="F277" s="32">
        <f>F278</f>
        <v>117.2</v>
      </c>
      <c r="G277" s="32">
        <f t="shared" ref="G277:H277" si="113">G278</f>
        <v>592.3746900000001</v>
      </c>
      <c r="H277" s="32">
        <f t="shared" si="113"/>
        <v>579.96865000000003</v>
      </c>
      <c r="I277" s="351">
        <f t="shared" si="91"/>
        <v>97.905710657556938</v>
      </c>
    </row>
    <row r="278" spans="1:9" ht="27" x14ac:dyDescent="0.3">
      <c r="A278" s="31"/>
      <c r="B278" s="31"/>
      <c r="C278" s="31" t="s">
        <v>385</v>
      </c>
      <c r="D278" s="31"/>
      <c r="E278" s="82" t="s">
        <v>384</v>
      </c>
      <c r="F278" s="29">
        <f>F279+F284+F287</f>
        <v>117.2</v>
      </c>
      <c r="G278" s="29">
        <f t="shared" ref="G278:H278" si="114">G279+G284+G287</f>
        <v>592.3746900000001</v>
      </c>
      <c r="H278" s="29">
        <f t="shared" si="114"/>
        <v>579.96865000000003</v>
      </c>
      <c r="I278" s="352">
        <f t="shared" si="91"/>
        <v>97.905710657556938</v>
      </c>
    </row>
    <row r="279" spans="1:9" ht="27" x14ac:dyDescent="0.3">
      <c r="A279" s="190"/>
      <c r="B279" s="190"/>
      <c r="C279" s="190" t="s">
        <v>383</v>
      </c>
      <c r="D279" s="197"/>
      <c r="E279" s="201" t="s">
        <v>382</v>
      </c>
      <c r="F279" s="192">
        <f>F280+F282</f>
        <v>49.2</v>
      </c>
      <c r="G279" s="192">
        <f t="shared" ref="G279:H279" si="115">G280+G282</f>
        <v>49.2</v>
      </c>
      <c r="H279" s="192">
        <f t="shared" si="115"/>
        <v>46.112000000000002</v>
      </c>
      <c r="I279" s="353">
        <f t="shared" si="91"/>
        <v>93.723577235772353</v>
      </c>
    </row>
    <row r="280" spans="1:9" x14ac:dyDescent="0.3">
      <c r="A280" s="61"/>
      <c r="B280" s="61"/>
      <c r="C280" s="7" t="s">
        <v>381</v>
      </c>
      <c r="D280" s="7"/>
      <c r="E280" s="102" t="s">
        <v>380</v>
      </c>
      <c r="F280" s="9">
        <f>F281</f>
        <v>19.2</v>
      </c>
      <c r="G280" s="9">
        <f t="shared" ref="G280:H280" si="116">G281</f>
        <v>49.2</v>
      </c>
      <c r="H280" s="9">
        <f t="shared" si="116"/>
        <v>46.112000000000002</v>
      </c>
      <c r="I280" s="354">
        <f t="shared" si="91"/>
        <v>93.723577235772353</v>
      </c>
    </row>
    <row r="281" spans="1:9" x14ac:dyDescent="0.3">
      <c r="A281" s="61"/>
      <c r="B281" s="61"/>
      <c r="C281" s="7"/>
      <c r="D281" s="7" t="s">
        <v>12</v>
      </c>
      <c r="E281" s="6" t="s">
        <v>11</v>
      </c>
      <c r="F281" s="9">
        <v>19.2</v>
      </c>
      <c r="G281" s="9">
        <v>49.2</v>
      </c>
      <c r="H281" s="9">
        <v>46.112000000000002</v>
      </c>
      <c r="I281" s="354">
        <f t="shared" si="91"/>
        <v>93.723577235772353</v>
      </c>
    </row>
    <row r="282" spans="1:9" x14ac:dyDescent="0.3">
      <c r="A282" s="61"/>
      <c r="B282" s="61"/>
      <c r="C282" s="7" t="s">
        <v>379</v>
      </c>
      <c r="D282" s="7"/>
      <c r="E282" s="102" t="s">
        <v>378</v>
      </c>
      <c r="F282" s="9">
        <f>F283</f>
        <v>30</v>
      </c>
      <c r="G282" s="9">
        <f t="shared" ref="G282:H282" si="117">G283</f>
        <v>0</v>
      </c>
      <c r="H282" s="9">
        <f t="shared" si="117"/>
        <v>0</v>
      </c>
      <c r="I282" s="354"/>
    </row>
    <row r="283" spans="1:9" x14ac:dyDescent="0.3">
      <c r="A283" s="61"/>
      <c r="B283" s="61"/>
      <c r="C283" s="7"/>
      <c r="D283" s="7" t="s">
        <v>12</v>
      </c>
      <c r="E283" s="6" t="s">
        <v>11</v>
      </c>
      <c r="F283" s="9">
        <v>30</v>
      </c>
      <c r="G283" s="9">
        <v>0</v>
      </c>
      <c r="H283" s="9">
        <v>0</v>
      </c>
      <c r="I283" s="354"/>
    </row>
    <row r="284" spans="1:9" ht="27" x14ac:dyDescent="0.3">
      <c r="A284" s="190"/>
      <c r="B284" s="190"/>
      <c r="C284" s="190" t="s">
        <v>567</v>
      </c>
      <c r="D284" s="190"/>
      <c r="E284" s="191" t="s">
        <v>568</v>
      </c>
      <c r="F284" s="192">
        <f t="shared" ref="F284:H285" si="118">F285</f>
        <v>15.202809999999999</v>
      </c>
      <c r="G284" s="192">
        <f t="shared" si="118"/>
        <v>15.202809999999999</v>
      </c>
      <c r="H284" s="192">
        <f t="shared" si="118"/>
        <v>5.8847699999999996</v>
      </c>
      <c r="I284" s="373">
        <f t="shared" si="91"/>
        <v>38.708436137792944</v>
      </c>
    </row>
    <row r="285" spans="1:9" ht="27" x14ac:dyDescent="0.3">
      <c r="A285" s="61"/>
      <c r="B285" s="61"/>
      <c r="C285" s="7" t="s">
        <v>681</v>
      </c>
      <c r="D285" s="7"/>
      <c r="E285" s="6" t="s">
        <v>569</v>
      </c>
      <c r="F285" s="9">
        <f t="shared" si="118"/>
        <v>15.202809999999999</v>
      </c>
      <c r="G285" s="9">
        <f t="shared" si="118"/>
        <v>15.202809999999999</v>
      </c>
      <c r="H285" s="9">
        <f t="shared" si="118"/>
        <v>5.8847699999999996</v>
      </c>
      <c r="I285" s="9">
        <f t="shared" si="91"/>
        <v>38.708436137792944</v>
      </c>
    </row>
    <row r="286" spans="1:9" x14ac:dyDescent="0.3">
      <c r="A286" s="61"/>
      <c r="B286" s="61"/>
      <c r="C286" s="7"/>
      <c r="D286" s="7" t="s">
        <v>12</v>
      </c>
      <c r="E286" s="6" t="s">
        <v>11</v>
      </c>
      <c r="F286" s="9">
        <v>15.202809999999999</v>
      </c>
      <c r="G286" s="9">
        <v>15.202809999999999</v>
      </c>
      <c r="H286" s="9">
        <v>5.8847699999999996</v>
      </c>
      <c r="I286" s="9">
        <f t="shared" si="91"/>
        <v>38.708436137792944</v>
      </c>
    </row>
    <row r="287" spans="1:9" x14ac:dyDescent="0.3">
      <c r="A287" s="190"/>
      <c r="B287" s="190"/>
      <c r="C287" s="190" t="s">
        <v>785</v>
      </c>
      <c r="D287" s="190"/>
      <c r="E287" s="191" t="s">
        <v>786</v>
      </c>
      <c r="F287" s="192">
        <f>F288</f>
        <v>52.797190000000001</v>
      </c>
      <c r="G287" s="192">
        <f t="shared" ref="G287:H288" si="119">G288</f>
        <v>527.97188000000006</v>
      </c>
      <c r="H287" s="192">
        <f t="shared" si="119"/>
        <v>527.97188000000006</v>
      </c>
      <c r="I287" s="373">
        <f t="shared" si="91"/>
        <v>100</v>
      </c>
    </row>
    <row r="288" spans="1:9" x14ac:dyDescent="0.3">
      <c r="A288" s="61"/>
      <c r="B288" s="61"/>
      <c r="C288" s="278" t="s">
        <v>787</v>
      </c>
      <c r="D288" s="278"/>
      <c r="E288" s="281" t="s">
        <v>788</v>
      </c>
      <c r="F288" s="9">
        <f>F289</f>
        <v>52.797190000000001</v>
      </c>
      <c r="G288" s="9">
        <f t="shared" si="119"/>
        <v>527.97188000000006</v>
      </c>
      <c r="H288" s="9">
        <f t="shared" si="119"/>
        <v>527.97188000000006</v>
      </c>
      <c r="I288" s="374">
        <f t="shared" si="91"/>
        <v>100</v>
      </c>
    </row>
    <row r="289" spans="1:9" x14ac:dyDescent="0.3">
      <c r="A289" s="61"/>
      <c r="B289" s="61"/>
      <c r="C289" s="278"/>
      <c r="D289" s="7" t="s">
        <v>12</v>
      </c>
      <c r="E289" s="6" t="s">
        <v>11</v>
      </c>
      <c r="F289" s="9">
        <v>52.797190000000001</v>
      </c>
      <c r="G289" s="9">
        <f>G290+G291</f>
        <v>527.97188000000006</v>
      </c>
      <c r="H289" s="9">
        <f>H290+H291</f>
        <v>527.97188000000006</v>
      </c>
      <c r="I289" s="375">
        <f t="shared" ref="I289:I342" si="120">H289/G289*100</f>
        <v>100</v>
      </c>
    </row>
    <row r="290" spans="1:9" x14ac:dyDescent="0.3">
      <c r="A290" s="398"/>
      <c r="B290" s="398"/>
      <c r="C290" s="342"/>
      <c r="D290" s="342"/>
      <c r="E290" s="104" t="s">
        <v>319</v>
      </c>
      <c r="F290" s="9"/>
      <c r="G290" s="9">
        <v>475.17469</v>
      </c>
      <c r="H290" s="9">
        <v>475.17469</v>
      </c>
      <c r="I290" s="375">
        <f t="shared" si="120"/>
        <v>100</v>
      </c>
    </row>
    <row r="291" spans="1:9" x14ac:dyDescent="0.3">
      <c r="A291" s="286"/>
      <c r="B291" s="286"/>
      <c r="C291" s="278"/>
      <c r="D291" s="278"/>
      <c r="E291" s="101" t="s">
        <v>312</v>
      </c>
      <c r="F291" s="9">
        <v>52.797190000000001</v>
      </c>
      <c r="G291" s="9">
        <v>52.797190000000001</v>
      </c>
      <c r="H291" s="9">
        <v>52.797190000000001</v>
      </c>
      <c r="I291" s="375">
        <f t="shared" si="120"/>
        <v>100</v>
      </c>
    </row>
    <row r="292" spans="1:9" ht="26.4" x14ac:dyDescent="0.3">
      <c r="A292" s="34"/>
      <c r="B292" s="34"/>
      <c r="C292" s="35" t="s">
        <v>377</v>
      </c>
      <c r="D292" s="34"/>
      <c r="E292" s="33" t="s">
        <v>1560</v>
      </c>
      <c r="F292" s="32">
        <f>F293+F300</f>
        <v>8542.4439999999995</v>
      </c>
      <c r="G292" s="32">
        <f t="shared" ref="G292:H292" si="121">G293+G300</f>
        <v>8497.8301599999995</v>
      </c>
      <c r="H292" s="32">
        <f t="shared" si="121"/>
        <v>7908.25</v>
      </c>
      <c r="I292" s="351">
        <f t="shared" si="120"/>
        <v>93.061991721425514</v>
      </c>
    </row>
    <row r="293" spans="1:9" x14ac:dyDescent="0.3">
      <c r="A293" s="190"/>
      <c r="B293" s="190"/>
      <c r="C293" s="190" t="s">
        <v>375</v>
      </c>
      <c r="D293" s="197"/>
      <c r="E293" s="191" t="s">
        <v>374</v>
      </c>
      <c r="F293" s="192">
        <f>F294+F296</f>
        <v>7959.1440000000002</v>
      </c>
      <c r="G293" s="192">
        <f t="shared" ref="G293:H293" si="122">G294+G296</f>
        <v>7914.5301600000003</v>
      </c>
      <c r="H293" s="192">
        <f t="shared" si="122"/>
        <v>7908.25</v>
      </c>
      <c r="I293" s="353">
        <f t="shared" si="120"/>
        <v>99.920650248681341</v>
      </c>
    </row>
    <row r="294" spans="1:9" x14ac:dyDescent="0.3">
      <c r="A294" s="7"/>
      <c r="B294" s="7"/>
      <c r="C294" s="7" t="s">
        <v>373</v>
      </c>
      <c r="D294" s="7"/>
      <c r="E294" s="6" t="s">
        <v>372</v>
      </c>
      <c r="F294" s="9">
        <f>F295</f>
        <v>315.60000000000002</v>
      </c>
      <c r="G294" s="9">
        <f t="shared" ref="G294:H294" si="123">G295</f>
        <v>271.84224</v>
      </c>
      <c r="H294" s="9">
        <f t="shared" si="123"/>
        <v>265.75</v>
      </c>
      <c r="I294" s="354">
        <f t="shared" si="120"/>
        <v>97.758906047860691</v>
      </c>
    </row>
    <row r="295" spans="1:9" x14ac:dyDescent="0.3">
      <c r="A295" s="7"/>
      <c r="B295" s="7"/>
      <c r="C295" s="7"/>
      <c r="D295" s="7" t="s">
        <v>12</v>
      </c>
      <c r="E295" s="6" t="s">
        <v>11</v>
      </c>
      <c r="F295" s="9">
        <v>315.60000000000002</v>
      </c>
      <c r="G295" s="9">
        <v>271.84224</v>
      </c>
      <c r="H295" s="9">
        <v>265.75</v>
      </c>
      <c r="I295" s="354">
        <f t="shared" si="120"/>
        <v>97.758906047860691</v>
      </c>
    </row>
    <row r="296" spans="1:9" ht="18.75" customHeight="1" x14ac:dyDescent="0.3">
      <c r="A296" s="7"/>
      <c r="B296" s="7"/>
      <c r="C296" s="7" t="s">
        <v>371</v>
      </c>
      <c r="D296" s="7"/>
      <c r="E296" s="10" t="s">
        <v>370</v>
      </c>
      <c r="F296" s="9">
        <f>F297</f>
        <v>7643.5439999999999</v>
      </c>
      <c r="G296" s="9">
        <f t="shared" ref="G296:H296" si="124">G297</f>
        <v>7642.6879200000003</v>
      </c>
      <c r="H296" s="9">
        <f t="shared" si="124"/>
        <v>7642.5</v>
      </c>
      <c r="I296" s="354">
        <f t="shared" si="120"/>
        <v>99.997541179203338</v>
      </c>
    </row>
    <row r="297" spans="1:9" x14ac:dyDescent="0.3">
      <c r="A297" s="7"/>
      <c r="B297" s="7"/>
      <c r="C297" s="7"/>
      <c r="D297" s="7" t="s">
        <v>12</v>
      </c>
      <c r="E297" s="6" t="s">
        <v>11</v>
      </c>
      <c r="F297" s="9">
        <f>F298+F299</f>
        <v>7643.5439999999999</v>
      </c>
      <c r="G297" s="9">
        <f t="shared" ref="G297:H297" si="125">G298+G299</f>
        <v>7642.6879200000003</v>
      </c>
      <c r="H297" s="9">
        <f t="shared" si="125"/>
        <v>7642.5</v>
      </c>
      <c r="I297" s="354">
        <f t="shared" si="120"/>
        <v>99.997541179203338</v>
      </c>
    </row>
    <row r="298" spans="1:9" x14ac:dyDescent="0.3">
      <c r="A298" s="7"/>
      <c r="B298" s="7"/>
      <c r="C298" s="7"/>
      <c r="D298" s="7"/>
      <c r="E298" s="104" t="s">
        <v>319</v>
      </c>
      <c r="F298" s="243">
        <v>6267.7060799999999</v>
      </c>
      <c r="G298" s="243">
        <v>6266.85</v>
      </c>
      <c r="H298" s="243">
        <v>6266.85</v>
      </c>
      <c r="I298" s="369">
        <f t="shared" si="120"/>
        <v>100</v>
      </c>
    </row>
    <row r="299" spans="1:9" x14ac:dyDescent="0.3">
      <c r="A299" s="7"/>
      <c r="B299" s="7"/>
      <c r="C299" s="7"/>
      <c r="D299" s="7"/>
      <c r="E299" s="6" t="s">
        <v>352</v>
      </c>
      <c r="F299" s="243">
        <v>1375.8379199999999</v>
      </c>
      <c r="G299" s="243">
        <v>1375.8379199999999</v>
      </c>
      <c r="H299" s="243">
        <v>1375.65</v>
      </c>
      <c r="I299" s="369">
        <f t="shared" si="120"/>
        <v>99.986341414401508</v>
      </c>
    </row>
    <row r="300" spans="1:9" ht="40.200000000000003" x14ac:dyDescent="0.3">
      <c r="A300" s="190"/>
      <c r="B300" s="190"/>
      <c r="C300" s="190" t="s">
        <v>369</v>
      </c>
      <c r="D300" s="197"/>
      <c r="E300" s="191" t="s">
        <v>368</v>
      </c>
      <c r="F300" s="192">
        <f>F301</f>
        <v>583.29999999999995</v>
      </c>
      <c r="G300" s="192">
        <f t="shared" ref="G300:H301" si="126">G301</f>
        <v>583.29999999999995</v>
      </c>
      <c r="H300" s="192">
        <f t="shared" si="126"/>
        <v>0</v>
      </c>
      <c r="I300" s="353"/>
    </row>
    <row r="301" spans="1:9" ht="27" x14ac:dyDescent="0.3">
      <c r="A301" s="8"/>
      <c r="B301" s="8"/>
      <c r="C301" s="7" t="s">
        <v>367</v>
      </c>
      <c r="D301" s="7"/>
      <c r="E301" s="6" t="s">
        <v>366</v>
      </c>
      <c r="F301" s="9">
        <f>F302</f>
        <v>583.29999999999995</v>
      </c>
      <c r="G301" s="9">
        <f t="shared" si="126"/>
        <v>583.29999999999995</v>
      </c>
      <c r="H301" s="9">
        <f t="shared" si="126"/>
        <v>0</v>
      </c>
      <c r="I301" s="354"/>
    </row>
    <row r="302" spans="1:9" x14ac:dyDescent="0.3">
      <c r="A302" s="8"/>
      <c r="B302" s="8"/>
      <c r="C302" s="7"/>
      <c r="D302" s="7" t="s">
        <v>12</v>
      </c>
      <c r="E302" s="6" t="s">
        <v>11</v>
      </c>
      <c r="F302" s="9">
        <v>583.29999999999995</v>
      </c>
      <c r="G302" s="9">
        <v>583.29999999999995</v>
      </c>
      <c r="H302" s="9">
        <v>0</v>
      </c>
      <c r="I302" s="354"/>
    </row>
    <row r="303" spans="1:9" x14ac:dyDescent="0.3">
      <c r="A303" s="26"/>
      <c r="B303" s="26"/>
      <c r="C303" s="18" t="s">
        <v>52</v>
      </c>
      <c r="D303" s="106"/>
      <c r="E303" s="17" t="s">
        <v>51</v>
      </c>
      <c r="F303" s="16">
        <f t="shared" ref="F303:H304" si="127">F304</f>
        <v>3297.7</v>
      </c>
      <c r="G303" s="16">
        <f t="shared" si="127"/>
        <v>3341.1149999999998</v>
      </c>
      <c r="H303" s="16">
        <f t="shared" si="127"/>
        <v>3341.0675799999995</v>
      </c>
      <c r="I303" s="366">
        <f t="shared" si="120"/>
        <v>99.998580713324742</v>
      </c>
    </row>
    <row r="304" spans="1:9" s="78" customFormat="1" ht="26.4" x14ac:dyDescent="0.3">
      <c r="A304" s="105"/>
      <c r="B304" s="105"/>
      <c r="C304" s="45" t="s">
        <v>16</v>
      </c>
      <c r="D304" s="44"/>
      <c r="E304" s="88" t="s">
        <v>15</v>
      </c>
      <c r="F304" s="13">
        <f t="shared" si="127"/>
        <v>3297.7</v>
      </c>
      <c r="G304" s="13">
        <f>G305+G309</f>
        <v>3341.1149999999998</v>
      </c>
      <c r="H304" s="13">
        <f>H305+H309</f>
        <v>3341.0675799999995</v>
      </c>
      <c r="I304" s="367">
        <f t="shared" si="120"/>
        <v>99.998580713324742</v>
      </c>
    </row>
    <row r="305" spans="1:9" ht="27" x14ac:dyDescent="0.3">
      <c r="A305" s="8"/>
      <c r="B305" s="8"/>
      <c r="C305" s="7" t="s">
        <v>365</v>
      </c>
      <c r="D305" s="7"/>
      <c r="E305" s="6" t="s">
        <v>364</v>
      </c>
      <c r="F305" s="9">
        <f>F306+F307+F308</f>
        <v>3297.7</v>
      </c>
      <c r="G305" s="9">
        <f t="shared" ref="G305:H305" si="128">G306+G307+G308</f>
        <v>3297.7</v>
      </c>
      <c r="H305" s="9">
        <f t="shared" si="128"/>
        <v>3297.6525799999995</v>
      </c>
      <c r="I305" s="354">
        <f t="shared" si="120"/>
        <v>99.998562028080158</v>
      </c>
    </row>
    <row r="306" spans="1:9" ht="40.200000000000003" x14ac:dyDescent="0.3">
      <c r="A306" s="8"/>
      <c r="B306" s="8"/>
      <c r="C306" s="61"/>
      <c r="D306" s="7" t="s">
        <v>2</v>
      </c>
      <c r="E306" s="6" t="s">
        <v>1</v>
      </c>
      <c r="F306" s="9">
        <v>3141.1</v>
      </c>
      <c r="G306" s="9">
        <v>3141.1</v>
      </c>
      <c r="H306" s="9">
        <v>3141.1</v>
      </c>
      <c r="I306" s="354">
        <f t="shared" si="120"/>
        <v>100</v>
      </c>
    </row>
    <row r="307" spans="1:9" x14ac:dyDescent="0.3">
      <c r="A307" s="8"/>
      <c r="B307" s="8"/>
      <c r="C307" s="61"/>
      <c r="D307" s="7" t="s">
        <v>12</v>
      </c>
      <c r="E307" s="6" t="s">
        <v>11</v>
      </c>
      <c r="F307" s="9">
        <f>99.8+54.6</f>
        <v>154.4</v>
      </c>
      <c r="G307" s="9">
        <f t="shared" ref="G307" si="129">99.8+54.6</f>
        <v>154.4</v>
      </c>
      <c r="H307" s="9">
        <v>154.39957999999999</v>
      </c>
      <c r="I307" s="354">
        <f t="shared" si="120"/>
        <v>99.999727979274596</v>
      </c>
    </row>
    <row r="308" spans="1:9" x14ac:dyDescent="0.3">
      <c r="A308" s="8"/>
      <c r="B308" s="8"/>
      <c r="C308" s="61"/>
      <c r="D308" s="55" t="s">
        <v>22</v>
      </c>
      <c r="E308" s="56" t="s">
        <v>21</v>
      </c>
      <c r="F308" s="9">
        <v>2.2000000000000002</v>
      </c>
      <c r="G308" s="9">
        <v>2.2000000000000002</v>
      </c>
      <c r="H308" s="9">
        <v>2.153</v>
      </c>
      <c r="I308" s="354">
        <f t="shared" si="120"/>
        <v>97.863636363636346</v>
      </c>
    </row>
    <row r="309" spans="1:9" ht="14.25" customHeight="1" x14ac:dyDescent="0.3">
      <c r="A309" s="343"/>
      <c r="B309" s="343"/>
      <c r="C309" s="247" t="s">
        <v>773</v>
      </c>
      <c r="D309" s="247"/>
      <c r="E309" s="248" t="s">
        <v>774</v>
      </c>
      <c r="F309" s="344"/>
      <c r="G309" s="344">
        <f>G310</f>
        <v>43.414999999999999</v>
      </c>
      <c r="H309" s="344">
        <f>H310</f>
        <v>43.414999999999999</v>
      </c>
      <c r="I309" s="354">
        <f t="shared" si="120"/>
        <v>100</v>
      </c>
    </row>
    <row r="310" spans="1:9" x14ac:dyDescent="0.3">
      <c r="A310" s="343"/>
      <c r="B310" s="343"/>
      <c r="C310" s="249"/>
      <c r="D310" s="247" t="s">
        <v>22</v>
      </c>
      <c r="E310" s="248" t="s">
        <v>21</v>
      </c>
      <c r="F310" s="344"/>
      <c r="G310" s="344">
        <v>43.414999999999999</v>
      </c>
      <c r="H310" s="344">
        <v>43.414999999999999</v>
      </c>
      <c r="I310" s="354">
        <f t="shared" si="120"/>
        <v>100</v>
      </c>
    </row>
    <row r="311" spans="1:9" x14ac:dyDescent="0.3">
      <c r="A311" s="21"/>
      <c r="B311" s="23" t="s">
        <v>363</v>
      </c>
      <c r="C311" s="22"/>
      <c r="D311" s="21"/>
      <c r="E311" s="20" t="s">
        <v>362</v>
      </c>
      <c r="F311" s="27">
        <f>F312+F328+F366</f>
        <v>83393.826149999994</v>
      </c>
      <c r="G311" s="27">
        <f>G312+G328+G366</f>
        <v>105856.04509000001</v>
      </c>
      <c r="H311" s="27">
        <f>H312+H328+H366</f>
        <v>97665.059160000004</v>
      </c>
      <c r="I311" s="358">
        <f t="shared" si="120"/>
        <v>92.262146273237448</v>
      </c>
    </row>
    <row r="312" spans="1:9" x14ac:dyDescent="0.3">
      <c r="A312" s="21"/>
      <c r="B312" s="23" t="s">
        <v>361</v>
      </c>
      <c r="C312" s="22"/>
      <c r="D312" s="21"/>
      <c r="E312" s="20" t="s">
        <v>360</v>
      </c>
      <c r="F312" s="27">
        <f t="shared" ref="F312:H313" si="130">F313</f>
        <v>3097.72552</v>
      </c>
      <c r="G312" s="27">
        <f t="shared" si="130"/>
        <v>3603.8360800000005</v>
      </c>
      <c r="H312" s="27">
        <f t="shared" si="130"/>
        <v>3603.8360800000005</v>
      </c>
      <c r="I312" s="358">
        <f t="shared" si="120"/>
        <v>100</v>
      </c>
    </row>
    <row r="313" spans="1:9" x14ac:dyDescent="0.3">
      <c r="A313" s="21"/>
      <c r="B313" s="23"/>
      <c r="C313" s="22" t="s">
        <v>36</v>
      </c>
      <c r="D313" s="21"/>
      <c r="E313" s="28" t="s">
        <v>35</v>
      </c>
      <c r="F313" s="27">
        <f>F314</f>
        <v>3097.72552</v>
      </c>
      <c r="G313" s="27">
        <f t="shared" si="130"/>
        <v>3603.8360800000005</v>
      </c>
      <c r="H313" s="27">
        <f t="shared" si="130"/>
        <v>3603.8360800000005</v>
      </c>
      <c r="I313" s="358">
        <f t="shared" si="120"/>
        <v>100</v>
      </c>
    </row>
    <row r="314" spans="1:9" ht="26.4" x14ac:dyDescent="0.3">
      <c r="A314" s="54"/>
      <c r="B314" s="34"/>
      <c r="C314" s="35" t="s">
        <v>271</v>
      </c>
      <c r="D314" s="34"/>
      <c r="E314" s="33" t="s">
        <v>270</v>
      </c>
      <c r="F314" s="32">
        <f>F315</f>
        <v>3097.72552</v>
      </c>
      <c r="G314" s="32">
        <f t="shared" ref="G314:H314" si="131">G315</f>
        <v>3603.8360800000005</v>
      </c>
      <c r="H314" s="32">
        <f t="shared" si="131"/>
        <v>3603.8360800000005</v>
      </c>
      <c r="I314" s="351">
        <f t="shared" si="120"/>
        <v>100</v>
      </c>
    </row>
    <row r="315" spans="1:9" ht="27" x14ac:dyDescent="0.3">
      <c r="A315" s="190"/>
      <c r="B315" s="190"/>
      <c r="C315" s="190" t="s">
        <v>269</v>
      </c>
      <c r="D315" s="190"/>
      <c r="E315" s="191" t="s">
        <v>268</v>
      </c>
      <c r="F315" s="192">
        <f>F316+F320+F324+F318+F322</f>
        <v>3097.72552</v>
      </c>
      <c r="G315" s="192">
        <f t="shared" ref="G315:H315" si="132">G316+G320+G324+G318+G322</f>
        <v>3603.8360800000005</v>
      </c>
      <c r="H315" s="192">
        <f t="shared" si="132"/>
        <v>3603.8360800000005</v>
      </c>
      <c r="I315" s="353">
        <f t="shared" si="120"/>
        <v>100</v>
      </c>
    </row>
    <row r="316" spans="1:9" ht="40.200000000000003" x14ac:dyDescent="0.3">
      <c r="A316" s="8"/>
      <c r="B316" s="8"/>
      <c r="C316" s="7" t="s">
        <v>359</v>
      </c>
      <c r="D316" s="7"/>
      <c r="E316" s="81" t="s">
        <v>358</v>
      </c>
      <c r="F316" s="9">
        <f>F317</f>
        <v>110.6</v>
      </c>
      <c r="G316" s="9">
        <f t="shared" ref="G316:H316" si="133">G317</f>
        <v>142.01437999999999</v>
      </c>
      <c r="H316" s="9">
        <f t="shared" si="133"/>
        <v>142.01437999999999</v>
      </c>
      <c r="I316" s="354">
        <f t="shared" si="120"/>
        <v>100</v>
      </c>
    </row>
    <row r="317" spans="1:9" x14ac:dyDescent="0.3">
      <c r="A317" s="8"/>
      <c r="B317" s="8"/>
      <c r="C317" s="7"/>
      <c r="D317" s="7" t="s">
        <v>12</v>
      </c>
      <c r="E317" s="6" t="s">
        <v>11</v>
      </c>
      <c r="F317" s="9">
        <v>110.6</v>
      </c>
      <c r="G317" s="9">
        <v>142.01437999999999</v>
      </c>
      <c r="H317" s="9">
        <v>142.01437999999999</v>
      </c>
      <c r="I317" s="354">
        <f t="shared" si="120"/>
        <v>100</v>
      </c>
    </row>
    <row r="318" spans="1:9" ht="27" x14ac:dyDescent="0.3">
      <c r="A318" s="8"/>
      <c r="B318" s="8"/>
      <c r="C318" s="7" t="s">
        <v>267</v>
      </c>
      <c r="D318" s="7"/>
      <c r="E318" s="81" t="s">
        <v>266</v>
      </c>
      <c r="F318" s="9">
        <f>F319</f>
        <v>2368.4</v>
      </c>
      <c r="G318" s="9">
        <f t="shared" ref="G318:H318" si="134">G319</f>
        <v>2810.6615200000001</v>
      </c>
      <c r="H318" s="9">
        <f t="shared" si="134"/>
        <v>2810.6615200000001</v>
      </c>
      <c r="I318" s="354">
        <f t="shared" si="120"/>
        <v>100</v>
      </c>
    </row>
    <row r="319" spans="1:9" x14ac:dyDescent="0.3">
      <c r="A319" s="8"/>
      <c r="B319" s="8"/>
      <c r="C319" s="7"/>
      <c r="D319" s="7" t="s">
        <v>12</v>
      </c>
      <c r="E319" s="6" t="s">
        <v>11</v>
      </c>
      <c r="F319" s="9">
        <v>2368.4</v>
      </c>
      <c r="G319" s="9">
        <v>2810.6615200000001</v>
      </c>
      <c r="H319" s="9">
        <v>2810.6615200000001</v>
      </c>
      <c r="I319" s="354">
        <f t="shared" si="120"/>
        <v>100</v>
      </c>
    </row>
    <row r="320" spans="1:9" ht="27" x14ac:dyDescent="0.3">
      <c r="A320" s="8"/>
      <c r="B320" s="8"/>
      <c r="C320" s="7" t="s">
        <v>357</v>
      </c>
      <c r="D320" s="7"/>
      <c r="E320" s="6" t="s">
        <v>356</v>
      </c>
      <c r="F320" s="9">
        <f>F321</f>
        <v>35.299999999999997</v>
      </c>
      <c r="G320" s="9">
        <f t="shared" ref="G320:H320" si="135">G321</f>
        <v>4.6569900000000004</v>
      </c>
      <c r="H320" s="9">
        <f t="shared" si="135"/>
        <v>4.6569900000000004</v>
      </c>
      <c r="I320" s="354">
        <f t="shared" si="120"/>
        <v>100</v>
      </c>
    </row>
    <row r="321" spans="1:9" x14ac:dyDescent="0.3">
      <c r="A321" s="8"/>
      <c r="B321" s="8"/>
      <c r="C321" s="7"/>
      <c r="D321" s="7" t="s">
        <v>12</v>
      </c>
      <c r="E321" s="6" t="s">
        <v>11</v>
      </c>
      <c r="F321" s="9">
        <v>35.299999999999997</v>
      </c>
      <c r="G321" s="9">
        <v>4.6569900000000004</v>
      </c>
      <c r="H321" s="9">
        <v>4.6569900000000004</v>
      </c>
      <c r="I321" s="354">
        <f t="shared" si="120"/>
        <v>100</v>
      </c>
    </row>
    <row r="322" spans="1:9" ht="27" x14ac:dyDescent="0.3">
      <c r="A322" s="8"/>
      <c r="B322" s="8"/>
      <c r="C322" s="7" t="s">
        <v>562</v>
      </c>
      <c r="D322" s="7"/>
      <c r="E322" s="6" t="s">
        <v>563</v>
      </c>
      <c r="F322" s="9">
        <f>F323</f>
        <v>489.6</v>
      </c>
      <c r="G322" s="9">
        <f t="shared" ref="G322:H322" si="136">G323</f>
        <v>469.3501</v>
      </c>
      <c r="H322" s="9">
        <f t="shared" si="136"/>
        <v>469.3501</v>
      </c>
      <c r="I322" s="354">
        <f t="shared" si="120"/>
        <v>100</v>
      </c>
    </row>
    <row r="323" spans="1:9" x14ac:dyDescent="0.3">
      <c r="A323" s="8"/>
      <c r="B323" s="8"/>
      <c r="C323" s="7"/>
      <c r="D323" s="7" t="s">
        <v>12</v>
      </c>
      <c r="E323" s="6" t="s">
        <v>11</v>
      </c>
      <c r="F323" s="9">
        <v>489.6</v>
      </c>
      <c r="G323" s="9">
        <v>469.3501</v>
      </c>
      <c r="H323" s="9">
        <v>469.3501</v>
      </c>
      <c r="I323" s="354">
        <f t="shared" si="120"/>
        <v>100</v>
      </c>
    </row>
    <row r="324" spans="1:9" ht="27" x14ac:dyDescent="0.3">
      <c r="A324" s="8"/>
      <c r="B324" s="8"/>
      <c r="C324" s="7" t="s">
        <v>355</v>
      </c>
      <c r="D324" s="7"/>
      <c r="E324" s="6" t="s">
        <v>354</v>
      </c>
      <c r="F324" s="9">
        <f>F325</f>
        <v>93.825519999999997</v>
      </c>
      <c r="G324" s="9">
        <f t="shared" ref="G324:H324" si="137">G325</f>
        <v>177.15309000000002</v>
      </c>
      <c r="H324" s="9">
        <f t="shared" si="137"/>
        <v>177.15309000000002</v>
      </c>
      <c r="I324" s="354">
        <f t="shared" si="120"/>
        <v>100</v>
      </c>
    </row>
    <row r="325" spans="1:9" x14ac:dyDescent="0.3">
      <c r="A325" s="8"/>
      <c r="B325" s="8"/>
      <c r="C325" s="7"/>
      <c r="D325" s="7" t="s">
        <v>12</v>
      </c>
      <c r="E325" s="6" t="s">
        <v>11</v>
      </c>
      <c r="F325" s="9">
        <f>F326+F327</f>
        <v>93.825519999999997</v>
      </c>
      <c r="G325" s="9">
        <f t="shared" ref="G325:H325" si="138">G326+G327</f>
        <v>177.15309000000002</v>
      </c>
      <c r="H325" s="9">
        <f t="shared" si="138"/>
        <v>177.15309000000002</v>
      </c>
      <c r="I325" s="354">
        <f t="shared" si="120"/>
        <v>100</v>
      </c>
    </row>
    <row r="326" spans="1:9" x14ac:dyDescent="0.3">
      <c r="A326" s="8"/>
      <c r="B326" s="8"/>
      <c r="C326" s="7"/>
      <c r="D326" s="7"/>
      <c r="E326" s="6" t="s">
        <v>353</v>
      </c>
      <c r="F326" s="9">
        <v>91.948999999999998</v>
      </c>
      <c r="G326" s="9">
        <v>173.61</v>
      </c>
      <c r="H326" s="9">
        <v>173.61</v>
      </c>
      <c r="I326" s="354">
        <f t="shared" si="120"/>
        <v>100</v>
      </c>
    </row>
    <row r="327" spans="1:9" x14ac:dyDescent="0.3">
      <c r="A327" s="8"/>
      <c r="B327" s="8"/>
      <c r="C327" s="7"/>
      <c r="D327" s="7"/>
      <c r="E327" s="6" t="s">
        <v>352</v>
      </c>
      <c r="F327" s="9">
        <v>1.87652</v>
      </c>
      <c r="G327" s="9">
        <v>3.5430899999999999</v>
      </c>
      <c r="H327" s="9">
        <v>3.5430899999999999</v>
      </c>
      <c r="I327" s="354">
        <f t="shared" si="120"/>
        <v>100</v>
      </c>
    </row>
    <row r="328" spans="1:9" x14ac:dyDescent="0.3">
      <c r="A328" s="21"/>
      <c r="B328" s="23" t="s">
        <v>349</v>
      </c>
      <c r="C328" s="22"/>
      <c r="D328" s="21"/>
      <c r="E328" s="20" t="s">
        <v>348</v>
      </c>
      <c r="F328" s="27">
        <f>F329+F355</f>
        <v>34067.827529999995</v>
      </c>
      <c r="G328" s="27">
        <f>G329+G355</f>
        <v>32780.05156</v>
      </c>
      <c r="H328" s="27">
        <f>H329+H355</f>
        <v>29195.955979999999</v>
      </c>
      <c r="I328" s="358">
        <f t="shared" si="120"/>
        <v>89.066229583441199</v>
      </c>
    </row>
    <row r="329" spans="1:9" x14ac:dyDescent="0.3">
      <c r="A329" s="21"/>
      <c r="B329" s="55"/>
      <c r="C329" s="22" t="s">
        <v>36</v>
      </c>
      <c r="D329" s="21"/>
      <c r="E329" s="28" t="s">
        <v>35</v>
      </c>
      <c r="F329" s="27">
        <f>F330</f>
        <v>23249.027529999999</v>
      </c>
      <c r="G329" s="27">
        <f t="shared" ref="G329:H329" si="139">G330</f>
        <v>21744.851560000003</v>
      </c>
      <c r="H329" s="27">
        <f t="shared" si="139"/>
        <v>18160.755980000002</v>
      </c>
      <c r="I329" s="358">
        <f t="shared" si="120"/>
        <v>83.517498061044478</v>
      </c>
    </row>
    <row r="330" spans="1:9" ht="26.4" x14ac:dyDescent="0.3">
      <c r="A330" s="54"/>
      <c r="B330" s="34"/>
      <c r="C330" s="35" t="s">
        <v>293</v>
      </c>
      <c r="D330" s="34"/>
      <c r="E330" s="33" t="s">
        <v>292</v>
      </c>
      <c r="F330" s="32">
        <f>F331+F335</f>
        <v>23249.027529999999</v>
      </c>
      <c r="G330" s="32">
        <f t="shared" ref="G330:H330" si="140">G331+G335</f>
        <v>21744.851560000003</v>
      </c>
      <c r="H330" s="32">
        <f t="shared" si="140"/>
        <v>18160.755980000002</v>
      </c>
      <c r="I330" s="351">
        <f t="shared" si="120"/>
        <v>83.517498061044478</v>
      </c>
    </row>
    <row r="331" spans="1:9" ht="27" x14ac:dyDescent="0.3">
      <c r="A331" s="31"/>
      <c r="B331" s="31"/>
      <c r="C331" s="31" t="s">
        <v>291</v>
      </c>
      <c r="D331" s="31"/>
      <c r="E331" s="82" t="s">
        <v>290</v>
      </c>
      <c r="F331" s="29">
        <f t="shared" ref="F331:H333" si="141">F332</f>
        <v>648.5</v>
      </c>
      <c r="G331" s="29">
        <f t="shared" si="141"/>
        <v>648.5</v>
      </c>
      <c r="H331" s="29">
        <f t="shared" si="141"/>
        <v>521.24459999999999</v>
      </c>
      <c r="I331" s="352">
        <f t="shared" si="120"/>
        <v>80.376962220508858</v>
      </c>
    </row>
    <row r="332" spans="1:9" x14ac:dyDescent="0.3">
      <c r="A332" s="190"/>
      <c r="B332" s="190"/>
      <c r="C332" s="190" t="s">
        <v>289</v>
      </c>
      <c r="D332" s="197"/>
      <c r="E332" s="201" t="s">
        <v>288</v>
      </c>
      <c r="F332" s="192">
        <f t="shared" si="141"/>
        <v>648.5</v>
      </c>
      <c r="G332" s="192">
        <f t="shared" si="141"/>
        <v>648.5</v>
      </c>
      <c r="H332" s="192">
        <f t="shared" si="141"/>
        <v>521.24459999999999</v>
      </c>
      <c r="I332" s="353">
        <f t="shared" si="120"/>
        <v>80.376962220508858</v>
      </c>
    </row>
    <row r="333" spans="1:9" x14ac:dyDescent="0.3">
      <c r="A333" s="8"/>
      <c r="B333" s="8"/>
      <c r="C333" s="7" t="s">
        <v>347</v>
      </c>
      <c r="D333" s="75"/>
      <c r="E333" s="12" t="s">
        <v>346</v>
      </c>
      <c r="F333" s="5">
        <f>F334</f>
        <v>648.5</v>
      </c>
      <c r="G333" s="5">
        <f t="shared" si="141"/>
        <v>648.5</v>
      </c>
      <c r="H333" s="5">
        <f t="shared" si="141"/>
        <v>521.24459999999999</v>
      </c>
      <c r="I333" s="359">
        <f t="shared" si="120"/>
        <v>80.376962220508858</v>
      </c>
    </row>
    <row r="334" spans="1:9" x14ac:dyDescent="0.3">
      <c r="A334" s="8"/>
      <c r="B334" s="8"/>
      <c r="C334" s="7"/>
      <c r="D334" s="7" t="s">
        <v>12</v>
      </c>
      <c r="E334" s="6" t="s">
        <v>11</v>
      </c>
      <c r="F334" s="5">
        <v>648.5</v>
      </c>
      <c r="G334" s="5">
        <v>648.5</v>
      </c>
      <c r="H334" s="5">
        <v>521.24459999999999</v>
      </c>
      <c r="I334" s="359">
        <f t="shared" si="120"/>
        <v>80.376962220508858</v>
      </c>
    </row>
    <row r="335" spans="1:9" ht="27" x14ac:dyDescent="0.3">
      <c r="A335" s="31"/>
      <c r="B335" s="31"/>
      <c r="C335" s="31" t="s">
        <v>345</v>
      </c>
      <c r="D335" s="31"/>
      <c r="E335" s="82" t="s">
        <v>344</v>
      </c>
      <c r="F335" s="29">
        <f>F336+F350</f>
        <v>22600.527529999999</v>
      </c>
      <c r="G335" s="29">
        <f>G336+G350</f>
        <v>21096.351560000003</v>
      </c>
      <c r="H335" s="29">
        <f>H336+H350</f>
        <v>17639.51138</v>
      </c>
      <c r="I335" s="352">
        <f t="shared" si="120"/>
        <v>83.614037857833253</v>
      </c>
    </row>
    <row r="336" spans="1:9" ht="40.5" customHeight="1" x14ac:dyDescent="0.3">
      <c r="A336" s="190"/>
      <c r="B336" s="190"/>
      <c r="C336" s="190" t="s">
        <v>343</v>
      </c>
      <c r="D336" s="190"/>
      <c r="E336" s="201" t="s">
        <v>342</v>
      </c>
      <c r="F336" s="192">
        <f>F337+F340+F342+F344+F346+F348</f>
        <v>14078.798220000001</v>
      </c>
      <c r="G336" s="192">
        <f t="shared" ref="G336:H336" si="142">G337+G340+G342+G344+G346+G348</f>
        <v>12574.62225</v>
      </c>
      <c r="H336" s="192">
        <f t="shared" si="142"/>
        <v>9117.7820699999993</v>
      </c>
      <c r="I336" s="353">
        <f t="shared" si="120"/>
        <v>72.509391445138633</v>
      </c>
    </row>
    <row r="337" spans="1:9" x14ac:dyDescent="0.3">
      <c r="A337" s="7"/>
      <c r="B337" s="7"/>
      <c r="C337" s="7" t="s">
        <v>339</v>
      </c>
      <c r="D337" s="7"/>
      <c r="E337" s="12" t="s">
        <v>338</v>
      </c>
      <c r="F337" s="5">
        <f>F338</f>
        <v>2686.5256300000001</v>
      </c>
      <c r="G337" s="5">
        <f>G338+G339</f>
        <v>2686.5256300000001</v>
      </c>
      <c r="H337" s="5">
        <f>H338+H339</f>
        <v>2686.5256300000001</v>
      </c>
      <c r="I337" s="359">
        <f t="shared" si="120"/>
        <v>100</v>
      </c>
    </row>
    <row r="338" spans="1:9" x14ac:dyDescent="0.3">
      <c r="A338" s="61"/>
      <c r="B338" s="61"/>
      <c r="C338" s="61"/>
      <c r="D338" s="7" t="s">
        <v>12</v>
      </c>
      <c r="E338" s="6" t="s">
        <v>11</v>
      </c>
      <c r="F338" s="5">
        <v>2686.5256300000001</v>
      </c>
      <c r="G338" s="5">
        <v>2187.81214</v>
      </c>
      <c r="H338" s="5">
        <v>2187.81214</v>
      </c>
      <c r="I338" s="359">
        <f t="shared" si="120"/>
        <v>100</v>
      </c>
    </row>
    <row r="339" spans="1:9" ht="26.4" x14ac:dyDescent="0.3">
      <c r="A339" s="398"/>
      <c r="B339" s="398"/>
      <c r="C339" s="398"/>
      <c r="D339" s="247" t="s">
        <v>57</v>
      </c>
      <c r="E339" s="250" t="s">
        <v>56</v>
      </c>
      <c r="F339" s="392"/>
      <c r="G339" s="392">
        <v>498.71348999999998</v>
      </c>
      <c r="H339" s="392">
        <v>498.71348999999998</v>
      </c>
      <c r="I339" s="359">
        <f t="shared" si="120"/>
        <v>100</v>
      </c>
    </row>
    <row r="340" spans="1:9" ht="27" x14ac:dyDescent="0.3">
      <c r="A340" s="7"/>
      <c r="B340" s="7"/>
      <c r="C340" s="7" t="s">
        <v>337</v>
      </c>
      <c r="D340" s="7"/>
      <c r="E340" s="6" t="s">
        <v>336</v>
      </c>
      <c r="F340" s="9">
        <f>F341</f>
        <v>278.66500000000002</v>
      </c>
      <c r="G340" s="9">
        <f t="shared" ref="G340:H340" si="143">G341</f>
        <v>278.66500000000002</v>
      </c>
      <c r="H340" s="9">
        <f t="shared" si="143"/>
        <v>278.66500000000002</v>
      </c>
      <c r="I340" s="354">
        <f t="shared" si="120"/>
        <v>100</v>
      </c>
    </row>
    <row r="341" spans="1:9" x14ac:dyDescent="0.3">
      <c r="A341" s="7"/>
      <c r="B341" s="7"/>
      <c r="C341" s="7"/>
      <c r="D341" s="7" t="s">
        <v>12</v>
      </c>
      <c r="E341" s="6" t="s">
        <v>11</v>
      </c>
      <c r="F341" s="9">
        <v>278.66500000000002</v>
      </c>
      <c r="G341" s="9">
        <v>278.66500000000002</v>
      </c>
      <c r="H341" s="9">
        <v>278.66500000000002</v>
      </c>
      <c r="I341" s="354">
        <f t="shared" si="120"/>
        <v>100</v>
      </c>
    </row>
    <row r="342" spans="1:9" ht="40.200000000000003" x14ac:dyDescent="0.3">
      <c r="A342" s="7"/>
      <c r="B342" s="7"/>
      <c r="C342" s="75" t="s">
        <v>334</v>
      </c>
      <c r="D342" s="75"/>
      <c r="E342" s="6" t="s">
        <v>782</v>
      </c>
      <c r="F342" s="5">
        <f>F343</f>
        <v>104.50758999999999</v>
      </c>
      <c r="G342" s="5">
        <f t="shared" ref="G342:H342" si="144">G343</f>
        <v>83</v>
      </c>
      <c r="H342" s="5">
        <f t="shared" si="144"/>
        <v>83</v>
      </c>
      <c r="I342" s="359">
        <f t="shared" si="120"/>
        <v>100</v>
      </c>
    </row>
    <row r="343" spans="1:9" x14ac:dyDescent="0.3">
      <c r="A343" s="7"/>
      <c r="B343" s="7"/>
      <c r="C343" s="75"/>
      <c r="D343" s="75" t="s">
        <v>12</v>
      </c>
      <c r="E343" s="12" t="s">
        <v>11</v>
      </c>
      <c r="F343" s="5">
        <v>104.50758999999999</v>
      </c>
      <c r="G343" s="5">
        <v>83</v>
      </c>
      <c r="H343" s="5">
        <v>83</v>
      </c>
      <c r="I343" s="359">
        <f t="shared" ref="I343:I414" si="145">H343/G343*100</f>
        <v>100</v>
      </c>
    </row>
    <row r="344" spans="1:9" x14ac:dyDescent="0.3">
      <c r="A344" s="7"/>
      <c r="B344" s="7"/>
      <c r="C344" s="7" t="s">
        <v>685</v>
      </c>
      <c r="D344" s="55"/>
      <c r="E344" s="10" t="s">
        <v>333</v>
      </c>
      <c r="F344" s="9">
        <f>F345</f>
        <v>685.6</v>
      </c>
      <c r="G344" s="9">
        <f t="shared" ref="G344:H344" si="146">G345</f>
        <v>707.10758999999996</v>
      </c>
      <c r="H344" s="9">
        <f t="shared" si="146"/>
        <v>707.10756000000003</v>
      </c>
      <c r="I344" s="354">
        <f t="shared" si="145"/>
        <v>99.999995757364175</v>
      </c>
    </row>
    <row r="345" spans="1:9" x14ac:dyDescent="0.3">
      <c r="A345" s="7"/>
      <c r="B345" s="7"/>
      <c r="C345" s="7"/>
      <c r="D345" s="7" t="s">
        <v>12</v>
      </c>
      <c r="E345" s="6" t="s">
        <v>11</v>
      </c>
      <c r="F345" s="9">
        <v>685.6</v>
      </c>
      <c r="G345" s="9">
        <v>707.10758999999996</v>
      </c>
      <c r="H345" s="9">
        <v>707.10756000000003</v>
      </c>
      <c r="I345" s="354">
        <f t="shared" si="145"/>
        <v>99.999995757364175</v>
      </c>
    </row>
    <row r="346" spans="1:9" x14ac:dyDescent="0.3">
      <c r="A346" s="7"/>
      <c r="B346" s="7"/>
      <c r="C346" s="7" t="s">
        <v>686</v>
      </c>
      <c r="D346" s="98"/>
      <c r="E346" s="102" t="s">
        <v>332</v>
      </c>
      <c r="F346" s="9">
        <f>F347</f>
        <v>9723.5</v>
      </c>
      <c r="G346" s="9">
        <f t="shared" ref="G346:H346" si="147">G347</f>
        <v>8219.3240299999998</v>
      </c>
      <c r="H346" s="9">
        <f t="shared" si="147"/>
        <v>4762.4838799999998</v>
      </c>
      <c r="I346" s="354">
        <f t="shared" si="145"/>
        <v>57.942524988882816</v>
      </c>
    </row>
    <row r="347" spans="1:9" x14ac:dyDescent="0.3">
      <c r="A347" s="7"/>
      <c r="B347" s="7"/>
      <c r="C347" s="7"/>
      <c r="D347" s="7" t="s">
        <v>12</v>
      </c>
      <c r="E347" s="6" t="s">
        <v>11</v>
      </c>
      <c r="F347" s="9">
        <f>8219+1504.5</f>
        <v>9723.5</v>
      </c>
      <c r="G347" s="9">
        <v>8219.3240299999998</v>
      </c>
      <c r="H347" s="9">
        <v>4762.4838799999998</v>
      </c>
      <c r="I347" s="354">
        <f t="shared" si="145"/>
        <v>57.942524988882816</v>
      </c>
    </row>
    <row r="348" spans="1:9" x14ac:dyDescent="0.3">
      <c r="A348" s="7"/>
      <c r="B348" s="7"/>
      <c r="C348" s="7" t="s">
        <v>687</v>
      </c>
      <c r="D348" s="7"/>
      <c r="E348" s="6" t="s">
        <v>691</v>
      </c>
      <c r="F348" s="9">
        <f>F349</f>
        <v>599.99999999999977</v>
      </c>
      <c r="G348" s="9">
        <f t="shared" ref="G348:H348" si="148">G349</f>
        <v>599.99999999999977</v>
      </c>
      <c r="H348" s="9">
        <f t="shared" si="148"/>
        <v>599.99999999999977</v>
      </c>
      <c r="I348" s="354">
        <f t="shared" si="145"/>
        <v>100</v>
      </c>
    </row>
    <row r="349" spans="1:9" x14ac:dyDescent="0.3">
      <c r="A349" s="7"/>
      <c r="B349" s="7"/>
      <c r="C349" s="7"/>
      <c r="D349" s="7" t="s">
        <v>12</v>
      </c>
      <c r="E349" s="6" t="s">
        <v>11</v>
      </c>
      <c r="F349" s="9">
        <f>2099.2-1499.2</f>
        <v>599.99999999999977</v>
      </c>
      <c r="G349" s="9">
        <f t="shared" ref="G349:H349" si="149">2099.2-1499.2</f>
        <v>599.99999999999977</v>
      </c>
      <c r="H349" s="9">
        <f t="shared" si="149"/>
        <v>599.99999999999977</v>
      </c>
      <c r="I349" s="354">
        <f t="shared" si="145"/>
        <v>100</v>
      </c>
    </row>
    <row r="350" spans="1:9" x14ac:dyDescent="0.3">
      <c r="A350" s="190"/>
      <c r="B350" s="190"/>
      <c r="C350" s="285" t="s">
        <v>816</v>
      </c>
      <c r="D350" s="285"/>
      <c r="E350" s="295" t="s">
        <v>786</v>
      </c>
      <c r="F350" s="192">
        <f t="shared" ref="F350:H351" si="150">F351</f>
        <v>8521.7293100000006</v>
      </c>
      <c r="G350" s="192">
        <f t="shared" si="150"/>
        <v>8521.7293100000006</v>
      </c>
      <c r="H350" s="192">
        <f t="shared" si="150"/>
        <v>8521.7293100000006</v>
      </c>
      <c r="I350" s="353">
        <f t="shared" si="145"/>
        <v>100</v>
      </c>
    </row>
    <row r="351" spans="1:9" ht="39.6" x14ac:dyDescent="0.3">
      <c r="A351" s="278"/>
      <c r="B351" s="278"/>
      <c r="C351" s="278" t="s">
        <v>817</v>
      </c>
      <c r="D351" s="278"/>
      <c r="E351" s="296" t="s">
        <v>335</v>
      </c>
      <c r="F351" s="5">
        <f t="shared" si="150"/>
        <v>8521.7293100000006</v>
      </c>
      <c r="G351" s="5">
        <f t="shared" si="150"/>
        <v>8521.7293100000006</v>
      </c>
      <c r="H351" s="5">
        <f t="shared" si="150"/>
        <v>8521.7293100000006</v>
      </c>
      <c r="I351" s="359">
        <f t="shared" si="145"/>
        <v>100</v>
      </c>
    </row>
    <row r="352" spans="1:9" x14ac:dyDescent="0.3">
      <c r="A352" s="278"/>
      <c r="B352" s="278"/>
      <c r="C352" s="282"/>
      <c r="D352" s="278" t="s">
        <v>12</v>
      </c>
      <c r="E352" s="281" t="s">
        <v>11</v>
      </c>
      <c r="F352" s="5">
        <f>F353+F354</f>
        <v>8521.7293100000006</v>
      </c>
      <c r="G352" s="5">
        <f t="shared" ref="G352:H352" si="151">G353+G354</f>
        <v>8521.7293100000006</v>
      </c>
      <c r="H352" s="5">
        <f t="shared" si="151"/>
        <v>8521.7293100000006</v>
      </c>
      <c r="I352" s="359">
        <f t="shared" si="145"/>
        <v>100</v>
      </c>
    </row>
    <row r="353" spans="1:9" x14ac:dyDescent="0.3">
      <c r="A353" s="278"/>
      <c r="B353" s="278"/>
      <c r="C353" s="282"/>
      <c r="D353" s="278"/>
      <c r="E353" s="281" t="s">
        <v>157</v>
      </c>
      <c r="F353" s="5">
        <v>6391.2969800000001</v>
      </c>
      <c r="G353" s="5">
        <v>6391.2969800000001</v>
      </c>
      <c r="H353" s="5">
        <v>6391.2969800000001</v>
      </c>
      <c r="I353" s="359">
        <f t="shared" si="145"/>
        <v>100</v>
      </c>
    </row>
    <row r="354" spans="1:9" x14ac:dyDescent="0.3">
      <c r="A354" s="278"/>
      <c r="B354" s="278"/>
      <c r="C354" s="282"/>
      <c r="D354" s="278"/>
      <c r="E354" s="303" t="s">
        <v>156</v>
      </c>
      <c r="F354" s="5">
        <v>2130.4323300000001</v>
      </c>
      <c r="G354" s="5">
        <v>2130.4323300000001</v>
      </c>
      <c r="H354" s="5">
        <v>2130.4323300000001</v>
      </c>
      <c r="I354" s="359">
        <f t="shared" si="145"/>
        <v>100</v>
      </c>
    </row>
    <row r="355" spans="1:9" x14ac:dyDescent="0.3">
      <c r="A355" s="260"/>
      <c r="B355" s="260"/>
      <c r="C355" s="261" t="s">
        <v>18</v>
      </c>
      <c r="D355" s="261"/>
      <c r="E355" s="262" t="s">
        <v>17</v>
      </c>
      <c r="F355" s="254">
        <f>F356</f>
        <v>10818.8</v>
      </c>
      <c r="G355" s="254">
        <f t="shared" ref="G355:H355" si="152">G356</f>
        <v>11035.199999999999</v>
      </c>
      <c r="H355" s="254">
        <f t="shared" si="152"/>
        <v>11035.199999999999</v>
      </c>
      <c r="I355" s="377">
        <f t="shared" si="145"/>
        <v>100</v>
      </c>
    </row>
    <row r="356" spans="1:9" ht="27" x14ac:dyDescent="0.3">
      <c r="A356" s="263"/>
      <c r="B356" s="263"/>
      <c r="C356" s="258" t="s">
        <v>16</v>
      </c>
      <c r="D356" s="258"/>
      <c r="E356" s="259" t="s">
        <v>15</v>
      </c>
      <c r="F356" s="253">
        <f t="shared" ref="F356" si="153">F357+F359+F362</f>
        <v>10818.8</v>
      </c>
      <c r="G356" s="253">
        <f>G357+G359+G362+G364</f>
        <v>11035.199999999999</v>
      </c>
      <c r="H356" s="253">
        <f>H357+H359+H362+H364</f>
        <v>11035.199999999999</v>
      </c>
      <c r="I356" s="378">
        <f t="shared" si="145"/>
        <v>100</v>
      </c>
    </row>
    <row r="357" spans="1:9" x14ac:dyDescent="0.3">
      <c r="A357" s="247"/>
      <c r="B357" s="247"/>
      <c r="C357" s="255" t="s">
        <v>776</v>
      </c>
      <c r="D357" s="249"/>
      <c r="E357" s="256" t="s">
        <v>777</v>
      </c>
      <c r="F357" s="252">
        <f>F358</f>
        <v>8115</v>
      </c>
      <c r="G357" s="252">
        <f t="shared" ref="G357:H357" si="154">G358</f>
        <v>8115</v>
      </c>
      <c r="H357" s="252">
        <f t="shared" si="154"/>
        <v>8115</v>
      </c>
      <c r="I357" s="368">
        <f t="shared" si="145"/>
        <v>100</v>
      </c>
    </row>
    <row r="358" spans="1:9" ht="26.4" x14ac:dyDescent="0.3">
      <c r="A358" s="247"/>
      <c r="B358" s="247"/>
      <c r="C358" s="257"/>
      <c r="D358" s="247" t="s">
        <v>57</v>
      </c>
      <c r="E358" s="250" t="s">
        <v>56</v>
      </c>
      <c r="F358" s="252">
        <v>8115</v>
      </c>
      <c r="G358" s="252">
        <v>8115</v>
      </c>
      <c r="H358" s="252">
        <v>8115</v>
      </c>
      <c r="I358" s="368">
        <f t="shared" si="145"/>
        <v>100</v>
      </c>
    </row>
    <row r="359" spans="1:9" x14ac:dyDescent="0.3">
      <c r="A359" s="247"/>
      <c r="B359" s="247"/>
      <c r="C359" s="55" t="s">
        <v>507</v>
      </c>
      <c r="D359" s="55"/>
      <c r="E359" s="6" t="s">
        <v>506</v>
      </c>
      <c r="F359" s="252">
        <f>SUM(F360:F361)</f>
        <v>2163.8000000000002</v>
      </c>
      <c r="G359" s="252">
        <f t="shared" ref="G359:H359" si="155">SUM(G360:G361)</f>
        <v>2163.7999999999997</v>
      </c>
      <c r="H359" s="252">
        <f t="shared" si="155"/>
        <v>2163.7999999999997</v>
      </c>
      <c r="I359" s="368">
        <f t="shared" si="145"/>
        <v>100</v>
      </c>
    </row>
    <row r="360" spans="1:9" x14ac:dyDescent="0.3">
      <c r="A360" s="339"/>
      <c r="B360" s="339"/>
      <c r="C360" s="340"/>
      <c r="D360" s="75" t="s">
        <v>12</v>
      </c>
      <c r="E360" s="12" t="s">
        <v>11</v>
      </c>
      <c r="F360" s="341">
        <v>103</v>
      </c>
      <c r="G360" s="341">
        <v>1980.5837899999999</v>
      </c>
      <c r="H360" s="341">
        <v>1980.5837899999999</v>
      </c>
      <c r="I360" s="379">
        <f t="shared" si="145"/>
        <v>100</v>
      </c>
    </row>
    <row r="361" spans="1:9" ht="26.4" x14ac:dyDescent="0.3">
      <c r="A361" s="247"/>
      <c r="B361" s="247"/>
      <c r="C361" s="257"/>
      <c r="D361" s="247" t="s">
        <v>57</v>
      </c>
      <c r="E361" s="250" t="s">
        <v>56</v>
      </c>
      <c r="F361" s="252">
        <v>2060.8000000000002</v>
      </c>
      <c r="G361" s="252">
        <v>183.21620999999999</v>
      </c>
      <c r="H361" s="252">
        <v>183.21620999999999</v>
      </c>
      <c r="I361" s="368">
        <f t="shared" si="145"/>
        <v>100</v>
      </c>
    </row>
    <row r="362" spans="1:9" x14ac:dyDescent="0.3">
      <c r="A362" s="247"/>
      <c r="B362" s="247"/>
      <c r="C362" s="255" t="s">
        <v>783</v>
      </c>
      <c r="D362" s="267"/>
      <c r="E362" s="270" t="s">
        <v>780</v>
      </c>
      <c r="F362" s="252">
        <f>F363</f>
        <v>540</v>
      </c>
      <c r="G362" s="252">
        <f t="shared" ref="G362:H362" si="156">G363</f>
        <v>540</v>
      </c>
      <c r="H362" s="252">
        <f t="shared" si="156"/>
        <v>540</v>
      </c>
      <c r="I362" s="368">
        <f t="shared" si="145"/>
        <v>100</v>
      </c>
    </row>
    <row r="363" spans="1:9" ht="26.4" x14ac:dyDescent="0.3">
      <c r="A363" s="247"/>
      <c r="B363" s="247"/>
      <c r="C363" s="257"/>
      <c r="D363" s="247" t="s">
        <v>57</v>
      </c>
      <c r="E363" s="250" t="s">
        <v>56</v>
      </c>
      <c r="F363" s="252">
        <f>270+270</f>
        <v>540</v>
      </c>
      <c r="G363" s="252">
        <f t="shared" ref="G363:H363" si="157">270+270</f>
        <v>540</v>
      </c>
      <c r="H363" s="252">
        <f t="shared" si="157"/>
        <v>540</v>
      </c>
      <c r="I363" s="368">
        <f t="shared" si="145"/>
        <v>100</v>
      </c>
    </row>
    <row r="364" spans="1:9" x14ac:dyDescent="0.3">
      <c r="A364" s="342"/>
      <c r="B364" s="342"/>
      <c r="C364" s="7" t="s">
        <v>24</v>
      </c>
      <c r="D364" s="7"/>
      <c r="E364" s="6" t="s">
        <v>23</v>
      </c>
      <c r="F364" s="344"/>
      <c r="G364" s="344">
        <f>G365</f>
        <v>216.4</v>
      </c>
      <c r="H364" s="344">
        <f>H365</f>
        <v>216.4</v>
      </c>
      <c r="I364" s="368">
        <f t="shared" si="145"/>
        <v>100</v>
      </c>
    </row>
    <row r="365" spans="1:9" x14ac:dyDescent="0.3">
      <c r="A365" s="342"/>
      <c r="B365" s="342"/>
      <c r="C365" s="342"/>
      <c r="D365" s="7" t="s">
        <v>12</v>
      </c>
      <c r="E365" s="6" t="s">
        <v>11</v>
      </c>
      <c r="F365" s="344"/>
      <c r="G365" s="344">
        <v>216.4</v>
      </c>
      <c r="H365" s="344">
        <v>216.4</v>
      </c>
      <c r="I365" s="368">
        <f t="shared" si="145"/>
        <v>100</v>
      </c>
    </row>
    <row r="366" spans="1:9" x14ac:dyDescent="0.3">
      <c r="A366" s="8"/>
      <c r="B366" s="23" t="s">
        <v>331</v>
      </c>
      <c r="C366" s="22"/>
      <c r="D366" s="21"/>
      <c r="E366" s="20" t="s">
        <v>330</v>
      </c>
      <c r="F366" s="19">
        <f t="shared" ref="F366" si="158">F367</f>
        <v>46228.273099999999</v>
      </c>
      <c r="G366" s="19">
        <f>G367+G438</f>
        <v>69472.157450000013</v>
      </c>
      <c r="H366" s="19">
        <f>H367+H438</f>
        <v>64865.267099999997</v>
      </c>
      <c r="I366" s="362">
        <f t="shared" si="145"/>
        <v>93.368724221187961</v>
      </c>
    </row>
    <row r="367" spans="1:9" x14ac:dyDescent="0.3">
      <c r="A367" s="8"/>
      <c r="B367" s="23"/>
      <c r="C367" s="22" t="s">
        <v>36</v>
      </c>
      <c r="D367" s="23"/>
      <c r="E367" s="28" t="s">
        <v>35</v>
      </c>
      <c r="F367" s="19">
        <f>F368+F426</f>
        <v>46228.273099999999</v>
      </c>
      <c r="G367" s="19">
        <f>G368+G426</f>
        <v>69360.057450000008</v>
      </c>
      <c r="H367" s="19">
        <f>H368+H426</f>
        <v>64753.167099999999</v>
      </c>
      <c r="I367" s="362">
        <f t="shared" si="145"/>
        <v>93.358006726968185</v>
      </c>
    </row>
    <row r="368" spans="1:9" ht="26.4" x14ac:dyDescent="0.3">
      <c r="A368" s="54"/>
      <c r="B368" s="34"/>
      <c r="C368" s="35" t="s">
        <v>293</v>
      </c>
      <c r="D368" s="34"/>
      <c r="E368" s="33" t="s">
        <v>292</v>
      </c>
      <c r="F368" s="32">
        <f t="shared" ref="F368:H368" si="159">F369+F375</f>
        <v>37497.594270000001</v>
      </c>
      <c r="G368" s="32">
        <f t="shared" si="159"/>
        <v>60629.378620000003</v>
      </c>
      <c r="H368" s="32">
        <f t="shared" si="159"/>
        <v>56022.488270000002</v>
      </c>
      <c r="I368" s="351">
        <f t="shared" si="145"/>
        <v>92.401554403395608</v>
      </c>
    </row>
    <row r="369" spans="1:9" x14ac:dyDescent="0.3">
      <c r="A369" s="31"/>
      <c r="B369" s="31"/>
      <c r="C369" s="31" t="s">
        <v>329</v>
      </c>
      <c r="D369" s="31"/>
      <c r="E369" s="82" t="s">
        <v>328</v>
      </c>
      <c r="F369" s="29">
        <f>F370</f>
        <v>3910.7090400000006</v>
      </c>
      <c r="G369" s="29">
        <f t="shared" ref="G369:H369" si="160">G370</f>
        <v>3680.4221299999999</v>
      </c>
      <c r="H369" s="29">
        <f t="shared" si="160"/>
        <v>3680.4221200000002</v>
      </c>
      <c r="I369" s="352">
        <f t="shared" si="145"/>
        <v>99.999999728292039</v>
      </c>
    </row>
    <row r="370" spans="1:9" ht="27" x14ac:dyDescent="0.3">
      <c r="A370" s="75"/>
      <c r="B370" s="75"/>
      <c r="C370" s="75" t="s">
        <v>327</v>
      </c>
      <c r="D370" s="7"/>
      <c r="E370" s="6" t="s">
        <v>326</v>
      </c>
      <c r="F370" s="9">
        <f>F372+F373+F374</f>
        <v>3910.7090400000006</v>
      </c>
      <c r="G370" s="9">
        <f t="shared" ref="G370:H370" si="161">G372+G373+G374</f>
        <v>3680.4221299999999</v>
      </c>
      <c r="H370" s="9">
        <f t="shared" si="161"/>
        <v>3680.4221200000002</v>
      </c>
      <c r="I370" s="354">
        <f t="shared" si="145"/>
        <v>99.999999728292039</v>
      </c>
    </row>
    <row r="371" spans="1:9" x14ac:dyDescent="0.3">
      <c r="A371" s="75"/>
      <c r="B371" s="75"/>
      <c r="C371" s="75"/>
      <c r="D371" s="75" t="s">
        <v>12</v>
      </c>
      <c r="E371" s="12" t="s">
        <v>11</v>
      </c>
      <c r="F371" s="9">
        <f>F372+F373+F374</f>
        <v>3910.7090400000006</v>
      </c>
      <c r="G371" s="9">
        <f t="shared" ref="G371:H371" si="162">G372+G373+G374</f>
        <v>3680.4221299999999</v>
      </c>
      <c r="H371" s="9">
        <f t="shared" si="162"/>
        <v>3680.4221200000002</v>
      </c>
      <c r="I371" s="354">
        <f t="shared" si="145"/>
        <v>99.999999728292039</v>
      </c>
    </row>
    <row r="372" spans="1:9" x14ac:dyDescent="0.3">
      <c r="A372" s="75"/>
      <c r="B372" s="75"/>
      <c r="C372" s="75"/>
      <c r="D372" s="7"/>
      <c r="E372" s="101" t="s">
        <v>325</v>
      </c>
      <c r="F372" s="241">
        <v>2666.3</v>
      </c>
      <c r="G372" s="241">
        <v>2473.2436699999998</v>
      </c>
      <c r="H372" s="241">
        <v>2473.2436600000001</v>
      </c>
      <c r="I372" s="365">
        <f t="shared" si="145"/>
        <v>99.999999595672691</v>
      </c>
    </row>
    <row r="373" spans="1:9" x14ac:dyDescent="0.3">
      <c r="A373" s="75"/>
      <c r="B373" s="75"/>
      <c r="C373" s="75"/>
      <c r="D373" s="7"/>
      <c r="E373" s="101" t="s">
        <v>319</v>
      </c>
      <c r="F373" s="241">
        <v>140.30000000000001</v>
      </c>
      <c r="G373" s="241">
        <v>103.05182000000001</v>
      </c>
      <c r="H373" s="241">
        <v>103.05182000000001</v>
      </c>
      <c r="I373" s="365">
        <f t="shared" si="145"/>
        <v>100</v>
      </c>
    </row>
    <row r="374" spans="1:9" x14ac:dyDescent="0.3">
      <c r="A374" s="75"/>
      <c r="B374" s="75"/>
      <c r="C374" s="75"/>
      <c r="D374" s="7"/>
      <c r="E374" s="101" t="s">
        <v>312</v>
      </c>
      <c r="F374" s="9">
        <v>1104.10904</v>
      </c>
      <c r="G374" s="9">
        <v>1104.12664</v>
      </c>
      <c r="H374" s="9">
        <v>1104.12664</v>
      </c>
      <c r="I374" s="354">
        <f t="shared" si="145"/>
        <v>100</v>
      </c>
    </row>
    <row r="375" spans="1:9" ht="27" x14ac:dyDescent="0.3">
      <c r="A375" s="31"/>
      <c r="B375" s="31"/>
      <c r="C375" s="31" t="s">
        <v>291</v>
      </c>
      <c r="D375" s="31"/>
      <c r="E375" s="82" t="s">
        <v>290</v>
      </c>
      <c r="F375" s="29">
        <f>F376+F401+F414+F423</f>
        <v>33586.88523</v>
      </c>
      <c r="G375" s="29">
        <f>G376+G401+G414+G423</f>
        <v>56948.956490000004</v>
      </c>
      <c r="H375" s="29">
        <f>H376+H401+H414+H423</f>
        <v>52342.066149999999</v>
      </c>
      <c r="I375" s="352">
        <f t="shared" si="145"/>
        <v>91.910492089861279</v>
      </c>
    </row>
    <row r="376" spans="1:9" ht="27" x14ac:dyDescent="0.3">
      <c r="A376" s="190"/>
      <c r="B376" s="190"/>
      <c r="C376" s="190" t="s">
        <v>324</v>
      </c>
      <c r="D376" s="190"/>
      <c r="E376" s="201" t="s">
        <v>323</v>
      </c>
      <c r="F376" s="192">
        <f>F382+F385+F388+F377+F390+F392+F394+F398</f>
        <v>7869.0607799999998</v>
      </c>
      <c r="G376" s="192">
        <f t="shared" ref="G376:H376" si="163">G382+G385+G388+G377+G390+G392+G394+G398</f>
        <v>16780.690320000002</v>
      </c>
      <c r="H376" s="192">
        <f t="shared" si="163"/>
        <v>12173.79998</v>
      </c>
      <c r="I376" s="353">
        <f t="shared" si="145"/>
        <v>72.546479005638417</v>
      </c>
    </row>
    <row r="377" spans="1:9" s="24" customFormat="1" x14ac:dyDescent="0.3">
      <c r="A377" s="61"/>
      <c r="B377" s="61"/>
      <c r="C377" s="75" t="s">
        <v>322</v>
      </c>
      <c r="D377" s="7"/>
      <c r="E377" s="102" t="s">
        <v>321</v>
      </c>
      <c r="F377" s="9">
        <f>F378</f>
        <v>860.32722000000012</v>
      </c>
      <c r="G377" s="9">
        <f t="shared" ref="G377:H377" si="164">G378</f>
        <v>5860.3272200000001</v>
      </c>
      <c r="H377" s="9">
        <f t="shared" si="164"/>
        <v>5860.3272200000001</v>
      </c>
      <c r="I377" s="354">
        <f t="shared" si="145"/>
        <v>100</v>
      </c>
    </row>
    <row r="378" spans="1:9" s="24" customFormat="1" x14ac:dyDescent="0.3">
      <c r="A378" s="61"/>
      <c r="B378" s="61"/>
      <c r="C378" s="7"/>
      <c r="D378" s="7" t="s">
        <v>12</v>
      </c>
      <c r="E378" s="6" t="s">
        <v>11</v>
      </c>
      <c r="F378" s="9">
        <f>F380+F381</f>
        <v>860.32722000000012</v>
      </c>
      <c r="G378" s="9">
        <f>G380+G381+G379</f>
        <v>5860.3272200000001</v>
      </c>
      <c r="H378" s="9">
        <f>H380+H381+H379</f>
        <v>5860.3272200000001</v>
      </c>
      <c r="I378" s="354">
        <f t="shared" si="145"/>
        <v>100</v>
      </c>
    </row>
    <row r="379" spans="1:9" s="24" customFormat="1" x14ac:dyDescent="0.3">
      <c r="A379" s="398"/>
      <c r="B379" s="398"/>
      <c r="C379" s="342"/>
      <c r="D379" s="342"/>
      <c r="E379" s="101" t="s">
        <v>319</v>
      </c>
      <c r="F379" s="344"/>
      <c r="G379" s="344">
        <v>5000</v>
      </c>
      <c r="H379" s="344">
        <v>5000</v>
      </c>
      <c r="I379" s="354">
        <f t="shared" si="145"/>
        <v>100</v>
      </c>
    </row>
    <row r="380" spans="1:9" s="24" customFormat="1" x14ac:dyDescent="0.3">
      <c r="A380" s="61"/>
      <c r="B380" s="61"/>
      <c r="C380" s="7"/>
      <c r="D380" s="7"/>
      <c r="E380" s="101" t="s">
        <v>312</v>
      </c>
      <c r="F380" s="9">
        <v>567.31086000000005</v>
      </c>
      <c r="G380" s="9">
        <v>567.31086000000005</v>
      </c>
      <c r="H380" s="9">
        <v>567.31086000000005</v>
      </c>
      <c r="I380" s="354">
        <f t="shared" si="145"/>
        <v>100</v>
      </c>
    </row>
    <row r="381" spans="1:9" s="24" customFormat="1" x14ac:dyDescent="0.3">
      <c r="A381" s="61"/>
      <c r="B381" s="61"/>
      <c r="C381" s="7"/>
      <c r="D381" s="7"/>
      <c r="E381" s="101" t="s">
        <v>320</v>
      </c>
      <c r="F381" s="9">
        <v>293.01636000000002</v>
      </c>
      <c r="G381" s="9">
        <v>293.01636000000002</v>
      </c>
      <c r="H381" s="9">
        <v>293.01636000000002</v>
      </c>
      <c r="I381" s="354">
        <f t="shared" si="145"/>
        <v>100</v>
      </c>
    </row>
    <row r="382" spans="1:9" ht="26.4" x14ac:dyDescent="0.3">
      <c r="A382" s="55"/>
      <c r="B382" s="55"/>
      <c r="C382" s="55" t="s">
        <v>318</v>
      </c>
      <c r="D382" s="55"/>
      <c r="E382" s="10" t="s">
        <v>317</v>
      </c>
      <c r="F382" s="5">
        <f>F383</f>
        <v>1415.1244299999998</v>
      </c>
      <c r="G382" s="5">
        <f>G383+G384</f>
        <v>711.78146000000004</v>
      </c>
      <c r="H382" s="5">
        <f>H383+H384</f>
        <v>711.78146000000004</v>
      </c>
      <c r="I382" s="359">
        <f t="shared" si="145"/>
        <v>100</v>
      </c>
    </row>
    <row r="383" spans="1:9" x14ac:dyDescent="0.3">
      <c r="A383" s="55"/>
      <c r="B383" s="55"/>
      <c r="C383" s="55"/>
      <c r="D383" s="7" t="s">
        <v>12</v>
      </c>
      <c r="E383" s="6" t="s">
        <v>11</v>
      </c>
      <c r="F383" s="5">
        <v>1415.1244299999998</v>
      </c>
      <c r="G383" s="5">
        <v>192.25684999999999</v>
      </c>
      <c r="H383" s="5">
        <v>192.25684999999999</v>
      </c>
      <c r="I383" s="359">
        <f t="shared" si="145"/>
        <v>100</v>
      </c>
    </row>
    <row r="384" spans="1:9" ht="26.4" x14ac:dyDescent="0.3">
      <c r="A384" s="405"/>
      <c r="B384" s="405"/>
      <c r="C384" s="405"/>
      <c r="D384" s="247" t="s">
        <v>57</v>
      </c>
      <c r="E384" s="250" t="s">
        <v>56</v>
      </c>
      <c r="F384" s="392"/>
      <c r="G384" s="392">
        <v>519.52461000000005</v>
      </c>
      <c r="H384" s="392">
        <v>519.52461000000005</v>
      </c>
      <c r="I384" s="393">
        <f t="shared" si="145"/>
        <v>100</v>
      </c>
    </row>
    <row r="385" spans="1:9" ht="26.4" x14ac:dyDescent="0.3">
      <c r="A385" s="55"/>
      <c r="B385" s="55"/>
      <c r="C385" s="55" t="s">
        <v>316</v>
      </c>
      <c r="D385" s="55"/>
      <c r="E385" s="10" t="s">
        <v>315</v>
      </c>
      <c r="F385" s="5">
        <f>F386</f>
        <v>2598.9</v>
      </c>
      <c r="G385" s="5">
        <f>G386+G387</f>
        <v>2586.21902</v>
      </c>
      <c r="H385" s="5">
        <f>H386+H387</f>
        <v>2586.21902</v>
      </c>
      <c r="I385" s="359">
        <f t="shared" si="145"/>
        <v>100</v>
      </c>
    </row>
    <row r="386" spans="1:9" x14ac:dyDescent="0.3">
      <c r="A386" s="55"/>
      <c r="B386" s="55"/>
      <c r="C386" s="55"/>
      <c r="D386" s="7" t="s">
        <v>12</v>
      </c>
      <c r="E386" s="6" t="s">
        <v>11</v>
      </c>
      <c r="F386" s="5">
        <v>2598.9</v>
      </c>
      <c r="G386" s="5">
        <v>490.62308999999999</v>
      </c>
      <c r="H386" s="5">
        <v>490.62308999999999</v>
      </c>
      <c r="I386" s="359">
        <f t="shared" si="145"/>
        <v>100</v>
      </c>
    </row>
    <row r="387" spans="1:9" ht="26.4" x14ac:dyDescent="0.3">
      <c r="A387" s="405"/>
      <c r="B387" s="405"/>
      <c r="C387" s="405"/>
      <c r="D387" s="247" t="s">
        <v>57</v>
      </c>
      <c r="E387" s="250" t="s">
        <v>56</v>
      </c>
      <c r="F387" s="392"/>
      <c r="G387" s="392">
        <v>2095.59593</v>
      </c>
      <c r="H387" s="392">
        <v>2095.59593</v>
      </c>
      <c r="I387" s="393">
        <f t="shared" si="145"/>
        <v>100</v>
      </c>
    </row>
    <row r="388" spans="1:9" x14ac:dyDescent="0.3">
      <c r="A388" s="282"/>
      <c r="B388" s="282"/>
      <c r="C388" s="55" t="s">
        <v>790</v>
      </c>
      <c r="D388" s="278"/>
      <c r="E388" s="283" t="s">
        <v>789</v>
      </c>
      <c r="F388" s="290">
        <v>330.9</v>
      </c>
      <c r="G388" s="290">
        <v>330.9</v>
      </c>
      <c r="H388" s="290">
        <v>330.9</v>
      </c>
      <c r="I388" s="380">
        <f t="shared" si="145"/>
        <v>100</v>
      </c>
    </row>
    <row r="389" spans="1:9" ht="27" x14ac:dyDescent="0.3">
      <c r="A389" s="282"/>
      <c r="B389" s="282"/>
      <c r="C389" s="55"/>
      <c r="D389" s="7" t="s">
        <v>57</v>
      </c>
      <c r="E389" s="6" t="s">
        <v>56</v>
      </c>
      <c r="F389" s="290">
        <v>330.9</v>
      </c>
      <c r="G389" s="290">
        <v>330.9</v>
      </c>
      <c r="H389" s="290">
        <v>330.9</v>
      </c>
      <c r="I389" s="380">
        <f t="shared" si="145"/>
        <v>100</v>
      </c>
    </row>
    <row r="390" spans="1:9" ht="27.75" customHeight="1" x14ac:dyDescent="0.3">
      <c r="A390" s="55"/>
      <c r="B390" s="55"/>
      <c r="C390" s="55" t="s">
        <v>682</v>
      </c>
      <c r="D390" s="7"/>
      <c r="E390" s="101" t="s">
        <v>570</v>
      </c>
      <c r="F390" s="5">
        <f>F391</f>
        <v>461.23171000000002</v>
      </c>
      <c r="G390" s="5">
        <f t="shared" ref="G390:H390" si="165">G391</f>
        <v>429.96638000000002</v>
      </c>
      <c r="H390" s="5">
        <f t="shared" si="165"/>
        <v>336.49569000000002</v>
      </c>
      <c r="I390" s="359">
        <f t="shared" si="145"/>
        <v>78.260930540662272</v>
      </c>
    </row>
    <row r="391" spans="1:9" x14ac:dyDescent="0.3">
      <c r="A391" s="55"/>
      <c r="B391" s="55"/>
      <c r="C391" s="55"/>
      <c r="D391" s="7" t="s">
        <v>12</v>
      </c>
      <c r="E391" s="6" t="s">
        <v>11</v>
      </c>
      <c r="F391" s="5">
        <v>461.23171000000002</v>
      </c>
      <c r="G391" s="5">
        <v>429.96638000000002</v>
      </c>
      <c r="H391" s="5">
        <v>336.49569000000002</v>
      </c>
      <c r="I391" s="359">
        <f t="shared" si="145"/>
        <v>78.260930540662272</v>
      </c>
    </row>
    <row r="392" spans="1:9" x14ac:dyDescent="0.3">
      <c r="A392" s="55"/>
      <c r="B392" s="55"/>
      <c r="C392" s="55" t="s">
        <v>832</v>
      </c>
      <c r="D392" s="278"/>
      <c r="E392" s="283" t="s">
        <v>833</v>
      </c>
      <c r="F392" s="5">
        <f>F393</f>
        <v>586.33659999999998</v>
      </c>
      <c r="G392" s="5">
        <f t="shared" ref="G392:H392" si="166">G393</f>
        <v>586.33659999999998</v>
      </c>
      <c r="H392" s="5">
        <f t="shared" si="166"/>
        <v>586.33659999999998</v>
      </c>
      <c r="I392" s="359">
        <f t="shared" si="145"/>
        <v>100</v>
      </c>
    </row>
    <row r="393" spans="1:9" x14ac:dyDescent="0.3">
      <c r="A393" s="55"/>
      <c r="B393" s="55"/>
      <c r="C393" s="55"/>
      <c r="D393" s="7" t="s">
        <v>12</v>
      </c>
      <c r="E393" s="6" t="s">
        <v>11</v>
      </c>
      <c r="F393" s="5">
        <v>586.33659999999998</v>
      </c>
      <c r="G393" s="5">
        <v>586.33659999999998</v>
      </c>
      <c r="H393" s="5">
        <v>586.33659999999998</v>
      </c>
      <c r="I393" s="359">
        <f t="shared" si="145"/>
        <v>100</v>
      </c>
    </row>
    <row r="394" spans="1:9" x14ac:dyDescent="0.3">
      <c r="A394" s="55"/>
      <c r="B394" s="55"/>
      <c r="C394" s="7" t="s">
        <v>314</v>
      </c>
      <c r="D394" s="7"/>
      <c r="E394" s="6" t="s">
        <v>313</v>
      </c>
      <c r="F394" s="5">
        <f>F395</f>
        <v>627.34082000000001</v>
      </c>
      <c r="G394" s="5">
        <f t="shared" ref="G394:H394" si="167">G395</f>
        <v>5286.2596400000002</v>
      </c>
      <c r="H394" s="5">
        <f t="shared" si="167"/>
        <v>772.84699000000001</v>
      </c>
      <c r="I394" s="359">
        <f t="shared" si="145"/>
        <v>14.619921128202474</v>
      </c>
    </row>
    <row r="395" spans="1:9" x14ac:dyDescent="0.3">
      <c r="A395" s="55"/>
      <c r="B395" s="55"/>
      <c r="C395" s="55"/>
      <c r="D395" s="7" t="s">
        <v>12</v>
      </c>
      <c r="E395" s="6" t="s">
        <v>11</v>
      </c>
      <c r="F395" s="5">
        <f>F397</f>
        <v>627.34082000000001</v>
      </c>
      <c r="G395" s="5">
        <f>G397+G396</f>
        <v>5286.2596400000002</v>
      </c>
      <c r="H395" s="5">
        <f>H397+H396</f>
        <v>772.84699000000001</v>
      </c>
      <c r="I395" s="359">
        <f t="shared" si="145"/>
        <v>14.619921128202474</v>
      </c>
    </row>
    <row r="396" spans="1:9" x14ac:dyDescent="0.3">
      <c r="A396" s="405"/>
      <c r="B396" s="405"/>
      <c r="C396" s="405"/>
      <c r="D396" s="342"/>
      <c r="E396" s="101" t="s">
        <v>319</v>
      </c>
      <c r="F396" s="392"/>
      <c r="G396" s="392">
        <v>4050</v>
      </c>
      <c r="H396" s="392">
        <v>695.56227999999999</v>
      </c>
      <c r="I396" s="393"/>
    </row>
    <row r="397" spans="1:9" x14ac:dyDescent="0.3">
      <c r="A397" s="55"/>
      <c r="B397" s="55"/>
      <c r="C397" s="55"/>
      <c r="D397" s="7"/>
      <c r="E397" s="101" t="s">
        <v>312</v>
      </c>
      <c r="F397" s="5">
        <v>627.34082000000001</v>
      </c>
      <c r="G397" s="5">
        <v>1236.25964</v>
      </c>
      <c r="H397" s="5">
        <v>77.284710000000004</v>
      </c>
      <c r="I397" s="359">
        <f t="shared" si="145"/>
        <v>6.2514950338425672</v>
      </c>
    </row>
    <row r="398" spans="1:9" ht="27" x14ac:dyDescent="0.3">
      <c r="A398" s="55"/>
      <c r="B398" s="55"/>
      <c r="C398" s="55" t="s">
        <v>571</v>
      </c>
      <c r="D398" s="7"/>
      <c r="E398" s="6" t="s">
        <v>572</v>
      </c>
      <c r="F398" s="242">
        <f>F399+F400</f>
        <v>988.9</v>
      </c>
      <c r="G398" s="242">
        <f t="shared" ref="G398:H398" si="168">G399+G400</f>
        <v>988.9</v>
      </c>
      <c r="H398" s="242">
        <f t="shared" si="168"/>
        <v>988.89300000000003</v>
      </c>
      <c r="I398" s="376">
        <f t="shared" si="145"/>
        <v>99.99929214278491</v>
      </c>
    </row>
    <row r="399" spans="1:9" x14ac:dyDescent="0.3">
      <c r="A399" s="55"/>
      <c r="B399" s="55"/>
      <c r="C399" s="55"/>
      <c r="D399" s="7" t="s">
        <v>12</v>
      </c>
      <c r="E399" s="6" t="s">
        <v>11</v>
      </c>
      <c r="F399" s="242">
        <v>724.9</v>
      </c>
      <c r="G399" s="242">
        <v>724.9</v>
      </c>
      <c r="H399" s="242">
        <v>724.89300000000003</v>
      </c>
      <c r="I399" s="376">
        <f t="shared" si="145"/>
        <v>99.999034349565463</v>
      </c>
    </row>
    <row r="400" spans="1:9" ht="26.4" x14ac:dyDescent="0.3">
      <c r="A400" s="55"/>
      <c r="B400" s="55"/>
      <c r="C400" s="55"/>
      <c r="D400" s="7" t="s">
        <v>57</v>
      </c>
      <c r="E400" s="10" t="s">
        <v>56</v>
      </c>
      <c r="F400" s="242">
        <v>264</v>
      </c>
      <c r="G400" s="242">
        <v>264</v>
      </c>
      <c r="H400" s="242">
        <v>264</v>
      </c>
      <c r="I400" s="376">
        <f t="shared" si="145"/>
        <v>100</v>
      </c>
    </row>
    <row r="401" spans="1:9" x14ac:dyDescent="0.3">
      <c r="A401" s="190"/>
      <c r="B401" s="190"/>
      <c r="C401" s="190" t="s">
        <v>791</v>
      </c>
      <c r="D401" s="197"/>
      <c r="E401" s="201" t="s">
        <v>786</v>
      </c>
      <c r="F401" s="202">
        <f t="shared" ref="F401" si="169">F402+F406</f>
        <v>1808.71695</v>
      </c>
      <c r="G401" s="202">
        <f>G402+G406+G410</f>
        <v>14771.61117</v>
      </c>
      <c r="H401" s="202">
        <f>H402+H406+H410</f>
        <v>14771.61117</v>
      </c>
      <c r="I401" s="371">
        <f t="shared" si="145"/>
        <v>100</v>
      </c>
    </row>
    <row r="402" spans="1:9" ht="27" x14ac:dyDescent="0.3">
      <c r="A402" s="282"/>
      <c r="B402" s="282"/>
      <c r="C402" s="7" t="s">
        <v>792</v>
      </c>
      <c r="D402" s="7"/>
      <c r="E402" s="6" t="s">
        <v>581</v>
      </c>
      <c r="F402" s="241">
        <f t="shared" ref="F402:H402" si="170">F403</f>
        <v>1198.71695</v>
      </c>
      <c r="G402" s="241">
        <f t="shared" si="170"/>
        <v>1198.71695</v>
      </c>
      <c r="H402" s="241">
        <f t="shared" si="170"/>
        <v>1198.71695</v>
      </c>
      <c r="I402" s="365">
        <f t="shared" si="145"/>
        <v>100</v>
      </c>
    </row>
    <row r="403" spans="1:9" x14ac:dyDescent="0.3">
      <c r="A403" s="282"/>
      <c r="B403" s="282"/>
      <c r="C403" s="7"/>
      <c r="D403" s="7" t="s">
        <v>12</v>
      </c>
      <c r="E403" s="6" t="s">
        <v>11</v>
      </c>
      <c r="F403" s="241">
        <f>F405+F404</f>
        <v>1198.71695</v>
      </c>
      <c r="G403" s="241">
        <f t="shared" ref="G403:H403" si="171">G405+G404</f>
        <v>1198.71695</v>
      </c>
      <c r="H403" s="241">
        <f t="shared" si="171"/>
        <v>1198.71695</v>
      </c>
      <c r="I403" s="365">
        <f t="shared" si="145"/>
        <v>100</v>
      </c>
    </row>
    <row r="404" spans="1:9" x14ac:dyDescent="0.3">
      <c r="A404" s="282"/>
      <c r="B404" s="282"/>
      <c r="C404" s="7"/>
      <c r="D404" s="7"/>
      <c r="E404" s="6" t="s">
        <v>673</v>
      </c>
      <c r="F404" s="241">
        <v>840.91519000000005</v>
      </c>
      <c r="G404" s="241">
        <v>840.91519000000005</v>
      </c>
      <c r="H404" s="241">
        <v>840.91519000000005</v>
      </c>
      <c r="I404" s="365">
        <f t="shared" si="145"/>
        <v>100</v>
      </c>
    </row>
    <row r="405" spans="1:9" x14ac:dyDescent="0.3">
      <c r="A405" s="282"/>
      <c r="B405" s="282"/>
      <c r="C405" s="86"/>
      <c r="D405" s="7"/>
      <c r="E405" s="6" t="s">
        <v>77</v>
      </c>
      <c r="F405" s="241">
        <v>357.80176</v>
      </c>
      <c r="G405" s="241">
        <v>357.80176</v>
      </c>
      <c r="H405" s="241">
        <v>357.80176</v>
      </c>
      <c r="I405" s="365">
        <f t="shared" si="145"/>
        <v>100</v>
      </c>
    </row>
    <row r="406" spans="1:9" x14ac:dyDescent="0.3">
      <c r="A406" s="282"/>
      <c r="B406" s="282"/>
      <c r="C406" s="7" t="s">
        <v>793</v>
      </c>
      <c r="D406" s="278"/>
      <c r="E406" s="281" t="s">
        <v>794</v>
      </c>
      <c r="F406" s="291">
        <f t="shared" ref="F406:H406" si="172">F407</f>
        <v>610</v>
      </c>
      <c r="G406" s="291">
        <f t="shared" si="172"/>
        <v>6100</v>
      </c>
      <c r="H406" s="291">
        <f t="shared" si="172"/>
        <v>6100</v>
      </c>
      <c r="I406" s="372">
        <f t="shared" si="145"/>
        <v>100</v>
      </c>
    </row>
    <row r="407" spans="1:9" x14ac:dyDescent="0.3">
      <c r="A407" s="282"/>
      <c r="B407" s="282"/>
      <c r="C407" s="284"/>
      <c r="D407" s="7" t="s">
        <v>12</v>
      </c>
      <c r="E407" s="6" t="s">
        <v>11</v>
      </c>
      <c r="F407" s="291">
        <f>F409</f>
        <v>610</v>
      </c>
      <c r="G407" s="291">
        <f>G409+G408</f>
        <v>6100</v>
      </c>
      <c r="H407" s="291">
        <f>H409+H408</f>
        <v>6100</v>
      </c>
      <c r="I407" s="372">
        <f t="shared" si="145"/>
        <v>100</v>
      </c>
    </row>
    <row r="408" spans="1:9" x14ac:dyDescent="0.3">
      <c r="A408" s="405"/>
      <c r="B408" s="405"/>
      <c r="C408" s="412"/>
      <c r="D408" s="342"/>
      <c r="E408" s="6" t="s">
        <v>673</v>
      </c>
      <c r="F408" s="396"/>
      <c r="G408" s="396">
        <v>5490</v>
      </c>
      <c r="H408" s="396">
        <v>5490</v>
      </c>
      <c r="I408" s="372">
        <f t="shared" si="145"/>
        <v>100</v>
      </c>
    </row>
    <row r="409" spans="1:9" x14ac:dyDescent="0.3">
      <c r="A409" s="282"/>
      <c r="B409" s="282"/>
      <c r="C409" s="284"/>
      <c r="D409" s="278"/>
      <c r="E409" s="6" t="s">
        <v>77</v>
      </c>
      <c r="F409" s="291">
        <v>610</v>
      </c>
      <c r="G409" s="291">
        <v>610</v>
      </c>
      <c r="H409" s="291">
        <v>610</v>
      </c>
      <c r="I409" s="372">
        <f t="shared" si="145"/>
        <v>100</v>
      </c>
    </row>
    <row r="410" spans="1:9" ht="39.75" customHeight="1" x14ac:dyDescent="0.3">
      <c r="A410" s="405"/>
      <c r="B410" s="405"/>
      <c r="C410" s="7" t="s">
        <v>864</v>
      </c>
      <c r="D410" s="278"/>
      <c r="E410" s="281" t="s">
        <v>865</v>
      </c>
      <c r="F410" s="396"/>
      <c r="G410" s="396">
        <f>G411</f>
        <v>7472.8942200000001</v>
      </c>
      <c r="H410" s="396">
        <f>H411</f>
        <v>7472.8942200000001</v>
      </c>
      <c r="I410" s="372">
        <f t="shared" si="145"/>
        <v>100</v>
      </c>
    </row>
    <row r="411" spans="1:9" x14ac:dyDescent="0.3">
      <c r="A411" s="405"/>
      <c r="B411" s="405"/>
      <c r="C411" s="284"/>
      <c r="D411" s="7" t="s">
        <v>12</v>
      </c>
      <c r="E411" s="6" t="s">
        <v>11</v>
      </c>
      <c r="F411" s="396"/>
      <c r="G411" s="396">
        <f>G412+G413</f>
        <v>7472.8942200000001</v>
      </c>
      <c r="H411" s="396">
        <f>H412+H413</f>
        <v>7472.8942200000001</v>
      </c>
      <c r="I411" s="372">
        <f t="shared" si="145"/>
        <v>100</v>
      </c>
    </row>
    <row r="412" spans="1:9" x14ac:dyDescent="0.3">
      <c r="A412" s="405"/>
      <c r="B412" s="405"/>
      <c r="C412" s="412"/>
      <c r="D412" s="342"/>
      <c r="E412" s="6" t="s">
        <v>673</v>
      </c>
      <c r="F412" s="396"/>
      <c r="G412" s="396">
        <v>6725.6047900000003</v>
      </c>
      <c r="H412" s="396">
        <v>6725.6047900000003</v>
      </c>
      <c r="I412" s="372">
        <f t="shared" si="145"/>
        <v>100</v>
      </c>
    </row>
    <row r="413" spans="1:9" x14ac:dyDescent="0.3">
      <c r="A413" s="405"/>
      <c r="B413" s="405"/>
      <c r="C413" s="284"/>
      <c r="D413" s="278"/>
      <c r="E413" s="6" t="s">
        <v>77</v>
      </c>
      <c r="F413" s="396"/>
      <c r="G413" s="396">
        <v>747.28943000000004</v>
      </c>
      <c r="H413" s="396">
        <v>747.28943000000004</v>
      </c>
      <c r="I413" s="372">
        <f t="shared" si="145"/>
        <v>100</v>
      </c>
    </row>
    <row r="414" spans="1:9" x14ac:dyDescent="0.3">
      <c r="A414" s="190"/>
      <c r="B414" s="190"/>
      <c r="C414" s="190" t="s">
        <v>289</v>
      </c>
      <c r="D414" s="197"/>
      <c r="E414" s="201" t="s">
        <v>288</v>
      </c>
      <c r="F414" s="192">
        <f>F415+F417+F419</f>
        <v>1397.7075</v>
      </c>
      <c r="G414" s="192">
        <f>G415+G417+G419</f>
        <v>2885.2550000000001</v>
      </c>
      <c r="H414" s="192">
        <f>H415+H417+H419</f>
        <v>2885.2550000000001</v>
      </c>
      <c r="I414" s="353">
        <f t="shared" si="145"/>
        <v>100</v>
      </c>
    </row>
    <row r="415" spans="1:9" x14ac:dyDescent="0.3">
      <c r="A415" s="8"/>
      <c r="B415" s="8"/>
      <c r="C415" s="7" t="s">
        <v>309</v>
      </c>
      <c r="D415" s="75"/>
      <c r="E415" s="12" t="s">
        <v>308</v>
      </c>
      <c r="F415" s="5">
        <f>F416</f>
        <v>591.9</v>
      </c>
      <c r="G415" s="5">
        <f t="shared" ref="G415:H415" si="173">G416</f>
        <v>507.45832999999999</v>
      </c>
      <c r="H415" s="5">
        <f t="shared" si="173"/>
        <v>507.45832999999999</v>
      </c>
      <c r="I415" s="359">
        <f t="shared" ref="I415:I486" si="174">H415/G415*100</f>
        <v>100</v>
      </c>
    </row>
    <row r="416" spans="1:9" x14ac:dyDescent="0.3">
      <c r="A416" s="8"/>
      <c r="B416" s="8"/>
      <c r="C416" s="86"/>
      <c r="D416" s="7" t="s">
        <v>12</v>
      </c>
      <c r="E416" s="6" t="s">
        <v>11</v>
      </c>
      <c r="F416" s="5">
        <v>591.9</v>
      </c>
      <c r="G416" s="5">
        <v>507.45832999999999</v>
      </c>
      <c r="H416" s="5">
        <v>507.45832999999999</v>
      </c>
      <c r="I416" s="359">
        <f t="shared" si="174"/>
        <v>100</v>
      </c>
    </row>
    <row r="417" spans="1:9" x14ac:dyDescent="0.3">
      <c r="A417" s="8"/>
      <c r="B417" s="8"/>
      <c r="C417" s="7" t="s">
        <v>683</v>
      </c>
      <c r="D417" s="7"/>
      <c r="E417" s="6" t="s">
        <v>573</v>
      </c>
      <c r="F417" s="5">
        <f>F418</f>
        <v>394.4</v>
      </c>
      <c r="G417" s="5">
        <f t="shared" ref="G417:H417" si="175">G418</f>
        <v>394.4</v>
      </c>
      <c r="H417" s="5">
        <f t="shared" si="175"/>
        <v>394.4</v>
      </c>
      <c r="I417" s="359">
        <f t="shared" si="174"/>
        <v>100</v>
      </c>
    </row>
    <row r="418" spans="1:9" ht="26.4" x14ac:dyDescent="0.3">
      <c r="A418" s="8"/>
      <c r="B418" s="8"/>
      <c r="C418" s="100"/>
      <c r="D418" s="7" t="s">
        <v>57</v>
      </c>
      <c r="E418" s="10" t="s">
        <v>56</v>
      </c>
      <c r="F418" s="5">
        <v>394.4</v>
      </c>
      <c r="G418" s="5">
        <v>394.4</v>
      </c>
      <c r="H418" s="5">
        <v>394.4</v>
      </c>
      <c r="I418" s="359">
        <f t="shared" si="174"/>
        <v>100</v>
      </c>
    </row>
    <row r="419" spans="1:9" ht="53.4" x14ac:dyDescent="0.3">
      <c r="A419" s="55"/>
      <c r="B419" s="55"/>
      <c r="C419" s="7" t="s">
        <v>582</v>
      </c>
      <c r="D419" s="7"/>
      <c r="E419" s="6" t="s">
        <v>583</v>
      </c>
      <c r="F419" s="243">
        <f>F420</f>
        <v>411.40750000000003</v>
      </c>
      <c r="G419" s="243">
        <f t="shared" ref="G419:H419" si="176">G420</f>
        <v>1983.3966699999999</v>
      </c>
      <c r="H419" s="243">
        <f t="shared" si="176"/>
        <v>1983.3966699999999</v>
      </c>
      <c r="I419" s="369">
        <f t="shared" si="174"/>
        <v>100</v>
      </c>
    </row>
    <row r="420" spans="1:9" x14ac:dyDescent="0.3">
      <c r="A420" s="55"/>
      <c r="B420" s="55"/>
      <c r="C420" s="100"/>
      <c r="D420" s="7" t="s">
        <v>12</v>
      </c>
      <c r="E420" s="6" t="s">
        <v>11</v>
      </c>
      <c r="F420" s="243">
        <f>F422</f>
        <v>411.40750000000003</v>
      </c>
      <c r="G420" s="243">
        <f>G422+G421</f>
        <v>1983.3966699999999</v>
      </c>
      <c r="H420" s="243">
        <f>H422+H421</f>
        <v>1983.3966699999999</v>
      </c>
      <c r="I420" s="369">
        <f t="shared" si="174"/>
        <v>100</v>
      </c>
    </row>
    <row r="421" spans="1:9" x14ac:dyDescent="0.3">
      <c r="A421" s="405"/>
      <c r="B421" s="405"/>
      <c r="C421" s="411"/>
      <c r="D421" s="342"/>
      <c r="E421" s="6" t="s">
        <v>673</v>
      </c>
      <c r="F421" s="403"/>
      <c r="G421" s="403">
        <v>1487.5474999999999</v>
      </c>
      <c r="H421" s="403">
        <v>1487.5474999999999</v>
      </c>
      <c r="I421" s="369">
        <f t="shared" si="174"/>
        <v>100</v>
      </c>
    </row>
    <row r="422" spans="1:9" x14ac:dyDescent="0.3">
      <c r="A422" s="55"/>
      <c r="B422" s="55"/>
      <c r="C422" s="100"/>
      <c r="D422" s="7"/>
      <c r="E422" s="6" t="s">
        <v>77</v>
      </c>
      <c r="F422" s="243">
        <v>411.40750000000003</v>
      </c>
      <c r="G422" s="243">
        <v>495.84917000000002</v>
      </c>
      <c r="H422" s="243">
        <v>495.84917000000002</v>
      </c>
      <c r="I422" s="369">
        <f t="shared" si="174"/>
        <v>100</v>
      </c>
    </row>
    <row r="423" spans="1:9" x14ac:dyDescent="0.3">
      <c r="A423" s="190"/>
      <c r="B423" s="190"/>
      <c r="C423" s="190" t="s">
        <v>307</v>
      </c>
      <c r="D423" s="190"/>
      <c r="E423" s="201" t="s">
        <v>306</v>
      </c>
      <c r="F423" s="192">
        <f t="shared" ref="F423:H424" si="177">F424</f>
        <v>22511.4</v>
      </c>
      <c r="G423" s="192">
        <f t="shared" si="177"/>
        <v>22511.4</v>
      </c>
      <c r="H423" s="192">
        <f t="shared" si="177"/>
        <v>22511.4</v>
      </c>
      <c r="I423" s="353">
        <f t="shared" si="174"/>
        <v>100</v>
      </c>
    </row>
    <row r="424" spans="1:9" x14ac:dyDescent="0.3">
      <c r="A424" s="8"/>
      <c r="B424" s="8"/>
      <c r="C424" s="7" t="s">
        <v>305</v>
      </c>
      <c r="D424" s="7"/>
      <c r="E424" s="99" t="s">
        <v>304</v>
      </c>
      <c r="F424" s="9">
        <f t="shared" si="177"/>
        <v>22511.4</v>
      </c>
      <c r="G424" s="9">
        <f t="shared" si="177"/>
        <v>22511.4</v>
      </c>
      <c r="H424" s="9">
        <f t="shared" si="177"/>
        <v>22511.4</v>
      </c>
      <c r="I424" s="354">
        <f t="shared" si="174"/>
        <v>100</v>
      </c>
    </row>
    <row r="425" spans="1:9" ht="26.4" x14ac:dyDescent="0.3">
      <c r="A425" s="8"/>
      <c r="B425" s="8"/>
      <c r="C425" s="7"/>
      <c r="D425" s="7" t="s">
        <v>57</v>
      </c>
      <c r="E425" s="10" t="s">
        <v>56</v>
      </c>
      <c r="F425" s="9">
        <v>22511.4</v>
      </c>
      <c r="G425" s="9">
        <v>22511.4</v>
      </c>
      <c r="H425" s="9">
        <v>22511.4</v>
      </c>
      <c r="I425" s="354">
        <f t="shared" si="174"/>
        <v>100</v>
      </c>
    </row>
    <row r="426" spans="1:9" ht="26.4" x14ac:dyDescent="0.3">
      <c r="A426" s="54"/>
      <c r="B426" s="34"/>
      <c r="C426" s="35" t="s">
        <v>303</v>
      </c>
      <c r="D426" s="34"/>
      <c r="E426" s="33" t="s">
        <v>302</v>
      </c>
      <c r="F426" s="32">
        <f t="shared" ref="F426:H426" si="178">F427+F433</f>
        <v>8730.6788299999989</v>
      </c>
      <c r="G426" s="32">
        <f t="shared" si="178"/>
        <v>8730.6788299999989</v>
      </c>
      <c r="H426" s="32">
        <f t="shared" si="178"/>
        <v>8730.6788299999989</v>
      </c>
      <c r="I426" s="351">
        <f t="shared" si="174"/>
        <v>100</v>
      </c>
    </row>
    <row r="427" spans="1:9" ht="27" x14ac:dyDescent="0.3">
      <c r="A427" s="204"/>
      <c r="B427" s="195"/>
      <c r="C427" s="285" t="s">
        <v>800</v>
      </c>
      <c r="D427" s="197"/>
      <c r="E427" s="289" t="s">
        <v>802</v>
      </c>
      <c r="F427" s="202">
        <f t="shared" ref="F427:H428" si="179">F428</f>
        <v>6415.7461299999995</v>
      </c>
      <c r="G427" s="202">
        <f t="shared" si="179"/>
        <v>6415.7461299999995</v>
      </c>
      <c r="H427" s="202">
        <f t="shared" si="179"/>
        <v>6415.7461299999995</v>
      </c>
      <c r="I427" s="371">
        <f t="shared" si="174"/>
        <v>100</v>
      </c>
    </row>
    <row r="428" spans="1:9" ht="27" x14ac:dyDescent="0.3">
      <c r="A428" s="21"/>
      <c r="B428" s="23"/>
      <c r="C428" s="288" t="s">
        <v>801</v>
      </c>
      <c r="D428" s="55"/>
      <c r="E428" s="6" t="s">
        <v>747</v>
      </c>
      <c r="F428" s="241">
        <f t="shared" si="179"/>
        <v>6415.7461299999995</v>
      </c>
      <c r="G428" s="241">
        <f t="shared" si="179"/>
        <v>6415.7461299999995</v>
      </c>
      <c r="H428" s="241">
        <f t="shared" si="179"/>
        <v>6415.7461299999995</v>
      </c>
      <c r="I428" s="365">
        <f t="shared" si="174"/>
        <v>100</v>
      </c>
    </row>
    <row r="429" spans="1:9" x14ac:dyDescent="0.3">
      <c r="A429" s="21"/>
      <c r="B429" s="23"/>
      <c r="C429" s="98"/>
      <c r="D429" s="7" t="s">
        <v>12</v>
      </c>
      <c r="E429" s="6" t="s">
        <v>11</v>
      </c>
      <c r="F429" s="241">
        <f>F430+F431+F432</f>
        <v>6415.7461299999995</v>
      </c>
      <c r="G429" s="241">
        <f t="shared" ref="G429:H429" si="180">G430+G431+G432</f>
        <v>6415.7461299999995</v>
      </c>
      <c r="H429" s="241">
        <f t="shared" si="180"/>
        <v>6415.7461299999995</v>
      </c>
      <c r="I429" s="365">
        <f t="shared" si="174"/>
        <v>100</v>
      </c>
    </row>
    <row r="430" spans="1:9" x14ac:dyDescent="0.3">
      <c r="A430" s="21"/>
      <c r="B430" s="23"/>
      <c r="C430" s="98"/>
      <c r="D430" s="7"/>
      <c r="E430" s="6" t="s">
        <v>109</v>
      </c>
      <c r="F430" s="241">
        <v>5543.2046600000003</v>
      </c>
      <c r="G430" s="241">
        <v>5543.2046600000003</v>
      </c>
      <c r="H430" s="241">
        <v>5543.2046600000003</v>
      </c>
      <c r="I430" s="365">
        <f t="shared" si="174"/>
        <v>100</v>
      </c>
    </row>
    <row r="431" spans="1:9" x14ac:dyDescent="0.3">
      <c r="A431" s="21"/>
      <c r="B431" s="23"/>
      <c r="C431" s="98"/>
      <c r="D431" s="7"/>
      <c r="E431" s="6" t="s">
        <v>108</v>
      </c>
      <c r="F431" s="241">
        <v>230.96686</v>
      </c>
      <c r="G431" s="241">
        <v>230.96686</v>
      </c>
      <c r="H431" s="241">
        <v>230.96686</v>
      </c>
      <c r="I431" s="365">
        <f t="shared" si="174"/>
        <v>100</v>
      </c>
    </row>
    <row r="432" spans="1:9" x14ac:dyDescent="0.3">
      <c r="A432" s="21"/>
      <c r="B432" s="23"/>
      <c r="C432" s="98"/>
      <c r="D432" s="7"/>
      <c r="E432" s="6" t="s">
        <v>106</v>
      </c>
      <c r="F432" s="241">
        <v>641.57461000000001</v>
      </c>
      <c r="G432" s="241">
        <v>641.57461000000001</v>
      </c>
      <c r="H432" s="241">
        <v>641.57461000000001</v>
      </c>
      <c r="I432" s="365">
        <f t="shared" si="174"/>
        <v>100</v>
      </c>
    </row>
    <row r="433" spans="1:9" ht="27" x14ac:dyDescent="0.3">
      <c r="A433" s="190"/>
      <c r="B433" s="190"/>
      <c r="C433" s="190" t="s">
        <v>301</v>
      </c>
      <c r="D433" s="197"/>
      <c r="E433" s="191" t="s">
        <v>300</v>
      </c>
      <c r="F433" s="192">
        <f>F434</f>
        <v>2314.9326999999998</v>
      </c>
      <c r="G433" s="192">
        <f t="shared" ref="G433:H433" si="181">G434</f>
        <v>2314.9326999999998</v>
      </c>
      <c r="H433" s="192">
        <f t="shared" si="181"/>
        <v>2314.9326999999998</v>
      </c>
      <c r="I433" s="353">
        <f t="shared" si="174"/>
        <v>100</v>
      </c>
    </row>
    <row r="434" spans="1:9" ht="26.4" x14ac:dyDescent="0.3">
      <c r="A434" s="8"/>
      <c r="B434" s="8"/>
      <c r="C434" s="98" t="s">
        <v>299</v>
      </c>
      <c r="D434" s="55"/>
      <c r="E434" s="10" t="s">
        <v>298</v>
      </c>
      <c r="F434" s="9">
        <f>F436+F437</f>
        <v>2314.9326999999998</v>
      </c>
      <c r="G434" s="9">
        <f t="shared" ref="G434:H434" si="182">G436+G437</f>
        <v>2314.9326999999998</v>
      </c>
      <c r="H434" s="9">
        <f t="shared" si="182"/>
        <v>2314.9326999999998</v>
      </c>
      <c r="I434" s="354">
        <f t="shared" si="174"/>
        <v>100</v>
      </c>
    </row>
    <row r="435" spans="1:9" x14ac:dyDescent="0.3">
      <c r="A435" s="8"/>
      <c r="B435" s="8"/>
      <c r="C435" s="98"/>
      <c r="D435" s="7" t="s">
        <v>12</v>
      </c>
      <c r="E435" s="6" t="s">
        <v>11</v>
      </c>
      <c r="F435" s="9">
        <f>F436+F437</f>
        <v>2314.9326999999998</v>
      </c>
      <c r="G435" s="9">
        <f t="shared" ref="G435:H435" si="183">G436+G437</f>
        <v>2314.9326999999998</v>
      </c>
      <c r="H435" s="9">
        <f t="shared" si="183"/>
        <v>2314.9326999999998</v>
      </c>
      <c r="I435" s="354">
        <f t="shared" si="174"/>
        <v>100</v>
      </c>
    </row>
    <row r="436" spans="1:9" x14ac:dyDescent="0.3">
      <c r="A436" s="8"/>
      <c r="B436" s="8"/>
      <c r="C436" s="98"/>
      <c r="D436" s="7"/>
      <c r="E436" s="6" t="s">
        <v>108</v>
      </c>
      <c r="F436" s="241">
        <v>2083.4394299999999</v>
      </c>
      <c r="G436" s="241">
        <v>2083.4394299999999</v>
      </c>
      <c r="H436" s="241">
        <v>2083.4394299999999</v>
      </c>
      <c r="I436" s="365">
        <f t="shared" si="174"/>
        <v>100</v>
      </c>
    </row>
    <row r="437" spans="1:9" x14ac:dyDescent="0.3">
      <c r="A437" s="8"/>
      <c r="B437" s="8"/>
      <c r="C437" s="98"/>
      <c r="D437" s="7"/>
      <c r="E437" s="6" t="s">
        <v>106</v>
      </c>
      <c r="F437" s="241">
        <v>231.49327</v>
      </c>
      <c r="G437" s="241">
        <v>231.49327</v>
      </c>
      <c r="H437" s="241">
        <v>231.49327</v>
      </c>
      <c r="I437" s="365">
        <f t="shared" si="174"/>
        <v>100</v>
      </c>
    </row>
    <row r="438" spans="1:9" x14ac:dyDescent="0.3">
      <c r="A438" s="260"/>
      <c r="B438" s="260"/>
      <c r="C438" s="261" t="s">
        <v>18</v>
      </c>
      <c r="D438" s="261"/>
      <c r="E438" s="262" t="s">
        <v>17</v>
      </c>
      <c r="F438" s="399"/>
      <c r="G438" s="401">
        <v>112.1</v>
      </c>
      <c r="H438" s="401">
        <v>112.1</v>
      </c>
      <c r="I438" s="399">
        <f t="shared" si="174"/>
        <v>100</v>
      </c>
    </row>
    <row r="439" spans="1:9" ht="27" x14ac:dyDescent="0.3">
      <c r="A439" s="263"/>
      <c r="B439" s="263"/>
      <c r="C439" s="258" t="s">
        <v>16</v>
      </c>
      <c r="D439" s="258"/>
      <c r="E439" s="259" t="s">
        <v>15</v>
      </c>
      <c r="F439" s="400"/>
      <c r="G439" s="402">
        <v>112.1</v>
      </c>
      <c r="H439" s="402">
        <v>112.1</v>
      </c>
      <c r="I439" s="400">
        <f t="shared" si="174"/>
        <v>100</v>
      </c>
    </row>
    <row r="440" spans="1:9" s="24" customFormat="1" ht="26.4" x14ac:dyDescent="0.3">
      <c r="A440" s="342"/>
      <c r="B440" s="342"/>
      <c r="C440" s="75" t="s">
        <v>748</v>
      </c>
      <c r="D440" s="55"/>
      <c r="E440" s="99" t="s">
        <v>749</v>
      </c>
      <c r="F440" s="396"/>
      <c r="G440" s="396">
        <v>112.1</v>
      </c>
      <c r="H440" s="396">
        <v>112.1</v>
      </c>
      <c r="I440" s="397">
        <f t="shared" si="174"/>
        <v>100</v>
      </c>
    </row>
    <row r="441" spans="1:9" ht="26.4" x14ac:dyDescent="0.3">
      <c r="A441" s="343"/>
      <c r="B441" s="343"/>
      <c r="C441" s="23"/>
      <c r="D441" s="7" t="s">
        <v>57</v>
      </c>
      <c r="E441" s="10" t="s">
        <v>56</v>
      </c>
      <c r="F441" s="396"/>
      <c r="G441" s="396">
        <v>112.1</v>
      </c>
      <c r="H441" s="396">
        <v>112.1</v>
      </c>
      <c r="I441" s="397">
        <f t="shared" si="174"/>
        <v>100</v>
      </c>
    </row>
    <row r="442" spans="1:9" x14ac:dyDescent="0.3">
      <c r="A442" s="8"/>
      <c r="B442" s="23" t="s">
        <v>297</v>
      </c>
      <c r="C442" s="22"/>
      <c r="D442" s="21"/>
      <c r="E442" s="20" t="s">
        <v>296</v>
      </c>
      <c r="F442" s="27">
        <f t="shared" ref="F442:H446" si="184">F443</f>
        <v>616.1</v>
      </c>
      <c r="G442" s="27">
        <f t="shared" si="184"/>
        <v>616.1</v>
      </c>
      <c r="H442" s="27">
        <f t="shared" si="184"/>
        <v>616.1</v>
      </c>
      <c r="I442" s="358">
        <f t="shared" si="174"/>
        <v>100</v>
      </c>
    </row>
    <row r="443" spans="1:9" x14ac:dyDescent="0.3">
      <c r="A443" s="8"/>
      <c r="B443" s="23" t="s">
        <v>295</v>
      </c>
      <c r="C443" s="22"/>
      <c r="D443" s="21"/>
      <c r="E443" s="20" t="s">
        <v>294</v>
      </c>
      <c r="F443" s="27">
        <f t="shared" si="184"/>
        <v>616.1</v>
      </c>
      <c r="G443" s="27">
        <f t="shared" si="184"/>
        <v>616.1</v>
      </c>
      <c r="H443" s="27">
        <f t="shared" si="184"/>
        <v>616.1</v>
      </c>
      <c r="I443" s="358">
        <f t="shared" si="174"/>
        <v>100</v>
      </c>
    </row>
    <row r="444" spans="1:9" x14ac:dyDescent="0.3">
      <c r="A444" s="8"/>
      <c r="B444" s="23"/>
      <c r="C444" s="22" t="s">
        <v>36</v>
      </c>
      <c r="D444" s="21"/>
      <c r="E444" s="28" t="s">
        <v>35</v>
      </c>
      <c r="F444" s="27">
        <f t="shared" si="184"/>
        <v>616.1</v>
      </c>
      <c r="G444" s="27">
        <f t="shared" si="184"/>
        <v>616.1</v>
      </c>
      <c r="H444" s="27">
        <f t="shared" si="184"/>
        <v>616.1</v>
      </c>
      <c r="I444" s="358">
        <f t="shared" si="174"/>
        <v>100</v>
      </c>
    </row>
    <row r="445" spans="1:9" ht="26.4" x14ac:dyDescent="0.3">
      <c r="A445" s="97"/>
      <c r="B445" s="34"/>
      <c r="C445" s="35" t="s">
        <v>293</v>
      </c>
      <c r="D445" s="34"/>
      <c r="E445" s="33" t="s">
        <v>292</v>
      </c>
      <c r="F445" s="96">
        <f t="shared" si="184"/>
        <v>616.1</v>
      </c>
      <c r="G445" s="96">
        <f t="shared" si="184"/>
        <v>616.1</v>
      </c>
      <c r="H445" s="96">
        <f t="shared" si="184"/>
        <v>616.1</v>
      </c>
      <c r="I445" s="381">
        <f t="shared" si="174"/>
        <v>100</v>
      </c>
    </row>
    <row r="446" spans="1:9" ht="26.4" x14ac:dyDescent="0.3">
      <c r="A446" s="95"/>
      <c r="B446" s="68"/>
      <c r="C446" s="69" t="s">
        <v>291</v>
      </c>
      <c r="D446" s="68"/>
      <c r="E446" s="94" t="s">
        <v>290</v>
      </c>
      <c r="F446" s="93">
        <f t="shared" si="184"/>
        <v>616.1</v>
      </c>
      <c r="G446" s="93">
        <f t="shared" si="184"/>
        <v>616.1</v>
      </c>
      <c r="H446" s="93">
        <f t="shared" si="184"/>
        <v>616.1</v>
      </c>
      <c r="I446" s="382">
        <f t="shared" si="174"/>
        <v>100</v>
      </c>
    </row>
    <row r="447" spans="1:9" x14ac:dyDescent="0.3">
      <c r="A447" s="8"/>
      <c r="B447" s="23"/>
      <c r="C447" s="22" t="s">
        <v>289</v>
      </c>
      <c r="D447" s="23"/>
      <c r="E447" s="92" t="s">
        <v>288</v>
      </c>
      <c r="F447" s="27">
        <f>F448+F450</f>
        <v>616.1</v>
      </c>
      <c r="G447" s="27">
        <f t="shared" ref="G447:H447" si="185">G448+G450</f>
        <v>616.1</v>
      </c>
      <c r="H447" s="27">
        <f t="shared" si="185"/>
        <v>616.1</v>
      </c>
      <c r="I447" s="358">
        <f t="shared" si="174"/>
        <v>100</v>
      </c>
    </row>
    <row r="448" spans="1:9" ht="26.4" x14ac:dyDescent="0.3">
      <c r="A448" s="8"/>
      <c r="B448" s="55"/>
      <c r="C448" s="91" t="s">
        <v>287</v>
      </c>
      <c r="D448" s="23"/>
      <c r="E448" s="10" t="s">
        <v>286</v>
      </c>
      <c r="F448" s="9">
        <f>F449</f>
        <v>36.1</v>
      </c>
      <c r="G448" s="9">
        <f t="shared" ref="G448:H448" si="186">G449</f>
        <v>36.1</v>
      </c>
      <c r="H448" s="9">
        <f t="shared" si="186"/>
        <v>36.1</v>
      </c>
      <c r="I448" s="354">
        <f t="shared" si="174"/>
        <v>100</v>
      </c>
    </row>
    <row r="449" spans="1:9" x14ac:dyDescent="0.3">
      <c r="A449" s="8"/>
      <c r="B449" s="23"/>
      <c r="C449" s="57"/>
      <c r="D449" s="7" t="s">
        <v>12</v>
      </c>
      <c r="E449" s="6" t="s">
        <v>11</v>
      </c>
      <c r="F449" s="9">
        <v>36.1</v>
      </c>
      <c r="G449" s="9">
        <v>36.1</v>
      </c>
      <c r="H449" s="9">
        <v>36.1</v>
      </c>
      <c r="I449" s="354">
        <f t="shared" si="174"/>
        <v>100</v>
      </c>
    </row>
    <row r="450" spans="1:9" s="24" customFormat="1" ht="15" customHeight="1" x14ac:dyDescent="0.3">
      <c r="A450" s="89"/>
      <c r="B450" s="89"/>
      <c r="C450" s="7" t="s">
        <v>574</v>
      </c>
      <c r="D450" s="7"/>
      <c r="E450" s="6" t="s">
        <v>575</v>
      </c>
      <c r="F450" s="9">
        <f>F451</f>
        <v>580</v>
      </c>
      <c r="G450" s="9">
        <f t="shared" ref="G450:H450" si="187">G451</f>
        <v>580</v>
      </c>
      <c r="H450" s="9">
        <f t="shared" si="187"/>
        <v>580</v>
      </c>
      <c r="I450" s="354">
        <f t="shared" si="174"/>
        <v>100</v>
      </c>
    </row>
    <row r="451" spans="1:9" s="24" customFormat="1" x14ac:dyDescent="0.3">
      <c r="A451" s="89"/>
      <c r="B451" s="89"/>
      <c r="C451" s="134"/>
      <c r="D451" s="7" t="s">
        <v>12</v>
      </c>
      <c r="E451" s="6" t="s">
        <v>11</v>
      </c>
      <c r="F451" s="9">
        <v>580</v>
      </c>
      <c r="G451" s="9">
        <v>580</v>
      </c>
      <c r="H451" s="9">
        <v>580</v>
      </c>
      <c r="I451" s="354">
        <f t="shared" si="174"/>
        <v>100</v>
      </c>
    </row>
    <row r="452" spans="1:9" x14ac:dyDescent="0.3">
      <c r="A452" s="8"/>
      <c r="B452" s="23" t="s">
        <v>154</v>
      </c>
      <c r="C452" s="22"/>
      <c r="D452" s="21"/>
      <c r="E452" s="20" t="s">
        <v>153</v>
      </c>
      <c r="F452" s="27">
        <f>F453</f>
        <v>1579.2300000000005</v>
      </c>
      <c r="G452" s="27">
        <f t="shared" ref="G452:H452" si="188">G453</f>
        <v>3509.5431000000003</v>
      </c>
      <c r="H452" s="27">
        <f t="shared" si="188"/>
        <v>3422.9048200000002</v>
      </c>
      <c r="I452" s="358">
        <f t="shared" si="174"/>
        <v>97.531351588188215</v>
      </c>
    </row>
    <row r="453" spans="1:9" x14ac:dyDescent="0.3">
      <c r="A453" s="8"/>
      <c r="B453" s="23" t="s">
        <v>241</v>
      </c>
      <c r="C453" s="22"/>
      <c r="D453" s="21"/>
      <c r="E453" s="20" t="s">
        <v>240</v>
      </c>
      <c r="F453" s="27">
        <f>F454+F464</f>
        <v>1579.2300000000005</v>
      </c>
      <c r="G453" s="27">
        <f>G454+G464</f>
        <v>3509.5431000000003</v>
      </c>
      <c r="H453" s="27">
        <f>H454+H464</f>
        <v>3422.9048200000002</v>
      </c>
      <c r="I453" s="358">
        <f t="shared" si="174"/>
        <v>97.531351588188215</v>
      </c>
    </row>
    <row r="454" spans="1:9" x14ac:dyDescent="0.3">
      <c r="A454" s="8"/>
      <c r="B454" s="23"/>
      <c r="C454" s="22" t="s">
        <v>36</v>
      </c>
      <c r="D454" s="21"/>
      <c r="E454" s="28" t="s">
        <v>35</v>
      </c>
      <c r="F454" s="27">
        <f t="shared" ref="F454:H461" si="189">F455</f>
        <v>734.43000000000029</v>
      </c>
      <c r="G454" s="27">
        <f t="shared" si="189"/>
        <v>2664.7431000000001</v>
      </c>
      <c r="H454" s="27">
        <f t="shared" si="189"/>
        <v>2642.0524500000001</v>
      </c>
      <c r="I454" s="358">
        <f t="shared" si="174"/>
        <v>99.148486396305884</v>
      </c>
    </row>
    <row r="455" spans="1:9" ht="26.4" x14ac:dyDescent="0.3">
      <c r="A455" s="54"/>
      <c r="B455" s="34"/>
      <c r="C455" s="35" t="s">
        <v>87</v>
      </c>
      <c r="D455" s="34"/>
      <c r="E455" s="33" t="s">
        <v>215</v>
      </c>
      <c r="F455" s="32">
        <f t="shared" si="189"/>
        <v>734.43000000000029</v>
      </c>
      <c r="G455" s="32">
        <f t="shared" si="189"/>
        <v>2664.7431000000001</v>
      </c>
      <c r="H455" s="32">
        <f t="shared" si="189"/>
        <v>2642.0524500000001</v>
      </c>
      <c r="I455" s="351">
        <f t="shared" si="174"/>
        <v>99.148486396305884</v>
      </c>
    </row>
    <row r="456" spans="1:9" x14ac:dyDescent="0.3">
      <c r="A456" s="31"/>
      <c r="B456" s="31"/>
      <c r="C456" s="31" t="s">
        <v>179</v>
      </c>
      <c r="D456" s="31"/>
      <c r="E456" s="82" t="s">
        <v>178</v>
      </c>
      <c r="F456" s="29">
        <f t="shared" si="189"/>
        <v>734.43000000000029</v>
      </c>
      <c r="G456" s="29">
        <f t="shared" si="189"/>
        <v>2664.7431000000001</v>
      </c>
      <c r="H456" s="29">
        <f t="shared" si="189"/>
        <v>2642.0524500000001</v>
      </c>
      <c r="I456" s="352">
        <f t="shared" si="174"/>
        <v>99.148486396305884</v>
      </c>
    </row>
    <row r="457" spans="1:9" s="24" customFormat="1" ht="41.25" customHeight="1" x14ac:dyDescent="0.3">
      <c r="A457" s="190"/>
      <c r="B457" s="190"/>
      <c r="C457" s="190" t="s">
        <v>285</v>
      </c>
      <c r="D457" s="190"/>
      <c r="E457" s="191" t="s">
        <v>284</v>
      </c>
      <c r="F457" s="192">
        <f>F461</f>
        <v>734.43000000000029</v>
      </c>
      <c r="G457" s="192">
        <f>G461+G458</f>
        <v>2664.7431000000001</v>
      </c>
      <c r="H457" s="192">
        <f>H461+H458</f>
        <v>2642.0524500000001</v>
      </c>
      <c r="I457" s="353">
        <f t="shared" si="174"/>
        <v>99.148486396305884</v>
      </c>
    </row>
    <row r="458" spans="1:9" ht="26.4" x14ac:dyDescent="0.3">
      <c r="A458" s="8"/>
      <c r="B458" s="8"/>
      <c r="C458" s="7" t="s">
        <v>866</v>
      </c>
      <c r="D458" s="7"/>
      <c r="E458" s="90" t="s">
        <v>867</v>
      </c>
      <c r="F458" s="5"/>
      <c r="G458" s="5">
        <f t="shared" si="189"/>
        <v>1930.36258</v>
      </c>
      <c r="H458" s="5">
        <f t="shared" si="189"/>
        <v>1907.67193</v>
      </c>
      <c r="I458" s="359">
        <f t="shared" ref="I458:I459" si="190">H458/G458*100</f>
        <v>98.824539481075107</v>
      </c>
    </row>
    <row r="459" spans="1:9" ht="27" x14ac:dyDescent="0.3">
      <c r="A459" s="8"/>
      <c r="B459" s="8"/>
      <c r="C459" s="7"/>
      <c r="D459" s="7" t="s">
        <v>260</v>
      </c>
      <c r="E459" s="6" t="s">
        <v>259</v>
      </c>
      <c r="F459" s="5"/>
      <c r="G459" s="5">
        <f>G460</f>
        <v>1930.36258</v>
      </c>
      <c r="H459" s="5">
        <f>H460</f>
        <v>1907.67193</v>
      </c>
      <c r="I459" s="359">
        <f t="shared" si="190"/>
        <v>98.824539481075107</v>
      </c>
    </row>
    <row r="460" spans="1:9" x14ac:dyDescent="0.3">
      <c r="A460" s="343"/>
      <c r="B460" s="343"/>
      <c r="C460" s="342"/>
      <c r="D460" s="342"/>
      <c r="E460" s="6" t="s">
        <v>108</v>
      </c>
      <c r="F460" s="392"/>
      <c r="G460" s="392">
        <v>1930.36258</v>
      </c>
      <c r="H460" s="392">
        <v>1907.67193</v>
      </c>
      <c r="I460" s="393"/>
    </row>
    <row r="461" spans="1:9" ht="26.4" x14ac:dyDescent="0.3">
      <c r="A461" s="8"/>
      <c r="B461" s="8"/>
      <c r="C461" s="7" t="s">
        <v>283</v>
      </c>
      <c r="D461" s="7"/>
      <c r="E461" s="90" t="s">
        <v>282</v>
      </c>
      <c r="F461" s="5">
        <f t="shared" si="189"/>
        <v>734.43000000000029</v>
      </c>
      <c r="G461" s="5">
        <f t="shared" si="189"/>
        <v>734.38052000000005</v>
      </c>
      <c r="H461" s="5">
        <f t="shared" si="189"/>
        <v>734.38052000000005</v>
      </c>
      <c r="I461" s="359">
        <f t="shared" si="174"/>
        <v>100</v>
      </c>
    </row>
    <row r="462" spans="1:9" ht="27" x14ac:dyDescent="0.3">
      <c r="A462" s="8"/>
      <c r="B462" s="8"/>
      <c r="C462" s="7"/>
      <c r="D462" s="7" t="s">
        <v>260</v>
      </c>
      <c r="E462" s="6" t="s">
        <v>259</v>
      </c>
      <c r="F462" s="5">
        <f>8191.33-7456.9</f>
        <v>734.43000000000029</v>
      </c>
      <c r="G462" s="5">
        <v>734.38052000000005</v>
      </c>
      <c r="H462" s="5">
        <v>734.38052000000005</v>
      </c>
      <c r="I462" s="359">
        <f t="shared" si="174"/>
        <v>100</v>
      </c>
    </row>
    <row r="463" spans="1:9" x14ac:dyDescent="0.3">
      <c r="A463" s="343"/>
      <c r="B463" s="343"/>
      <c r="C463" s="342"/>
      <c r="D463" s="342"/>
      <c r="E463" s="6" t="s">
        <v>106</v>
      </c>
      <c r="F463" s="5">
        <f>8191.33-7456.9</f>
        <v>734.43000000000029</v>
      </c>
      <c r="G463" s="5">
        <v>734.38052000000005</v>
      </c>
      <c r="H463" s="5">
        <v>734.38052000000005</v>
      </c>
      <c r="I463" s="393"/>
    </row>
    <row r="464" spans="1:9" x14ac:dyDescent="0.3">
      <c r="A464" s="97"/>
      <c r="B464" s="97"/>
      <c r="C464" s="206" t="s">
        <v>18</v>
      </c>
      <c r="D464" s="206"/>
      <c r="E464" s="209" t="s">
        <v>17</v>
      </c>
      <c r="F464" s="244">
        <f>F465</f>
        <v>844.80000000000007</v>
      </c>
      <c r="G464" s="244">
        <f t="shared" ref="G464:H464" si="191">G465</f>
        <v>844.80000000000007</v>
      </c>
      <c r="H464" s="244">
        <f t="shared" si="191"/>
        <v>780.85236999999995</v>
      </c>
      <c r="I464" s="383">
        <f t="shared" si="174"/>
        <v>92.430441524621202</v>
      </c>
    </row>
    <row r="465" spans="1:9" ht="27" x14ac:dyDescent="0.3">
      <c r="A465" s="176"/>
      <c r="B465" s="176"/>
      <c r="C465" s="15" t="s">
        <v>16</v>
      </c>
      <c r="D465" s="15"/>
      <c r="E465" s="14" t="s">
        <v>15</v>
      </c>
      <c r="F465" s="245">
        <f>F466+F468</f>
        <v>844.80000000000007</v>
      </c>
      <c r="G465" s="245">
        <f t="shared" ref="G465:H465" si="192">G466+G468</f>
        <v>844.80000000000007</v>
      </c>
      <c r="H465" s="245">
        <f t="shared" si="192"/>
        <v>780.85236999999995</v>
      </c>
      <c r="I465" s="384">
        <f t="shared" si="174"/>
        <v>92.430441524621202</v>
      </c>
    </row>
    <row r="466" spans="1:9" ht="26.4" x14ac:dyDescent="0.3">
      <c r="A466" s="8"/>
      <c r="B466" s="8"/>
      <c r="C466" s="75" t="s">
        <v>757</v>
      </c>
      <c r="D466" s="7"/>
      <c r="E466" s="10" t="s">
        <v>758</v>
      </c>
      <c r="F466" s="241">
        <f>F467</f>
        <v>91.2</v>
      </c>
      <c r="G466" s="241">
        <f t="shared" ref="G466:H466" si="193">G467</f>
        <v>91.2</v>
      </c>
      <c r="H466" s="241">
        <f t="shared" si="193"/>
        <v>27.33737</v>
      </c>
      <c r="I466" s="365">
        <f t="shared" si="174"/>
        <v>29.975186403508769</v>
      </c>
    </row>
    <row r="467" spans="1:9" x14ac:dyDescent="0.3">
      <c r="A467" s="8"/>
      <c r="B467" s="8"/>
      <c r="C467" s="23"/>
      <c r="D467" s="7" t="s">
        <v>12</v>
      </c>
      <c r="E467" s="6" t="s">
        <v>11</v>
      </c>
      <c r="F467" s="241">
        <v>91.2</v>
      </c>
      <c r="G467" s="241">
        <v>91.2</v>
      </c>
      <c r="H467" s="241">
        <v>27.33737</v>
      </c>
      <c r="I467" s="365">
        <f t="shared" si="174"/>
        <v>29.975186403508769</v>
      </c>
    </row>
    <row r="468" spans="1:9" ht="27" x14ac:dyDescent="0.3">
      <c r="A468" s="8"/>
      <c r="B468" s="8"/>
      <c r="C468" s="75" t="s">
        <v>779</v>
      </c>
      <c r="D468" s="75"/>
      <c r="E468" s="270" t="s">
        <v>781</v>
      </c>
      <c r="F468" s="241">
        <f>F469</f>
        <v>753.6</v>
      </c>
      <c r="G468" s="241">
        <f t="shared" ref="G468:H468" si="194">G469</f>
        <v>753.6</v>
      </c>
      <c r="H468" s="241">
        <f t="shared" si="194"/>
        <v>753.51499999999999</v>
      </c>
      <c r="I468" s="365">
        <f t="shared" si="174"/>
        <v>99.988720806794049</v>
      </c>
    </row>
    <row r="469" spans="1:9" ht="27" x14ac:dyDescent="0.3">
      <c r="A469" s="271"/>
      <c r="B469" s="271"/>
      <c r="C469" s="272"/>
      <c r="D469" s="273" t="s">
        <v>260</v>
      </c>
      <c r="E469" s="6" t="s">
        <v>259</v>
      </c>
      <c r="F469" s="241">
        <v>753.6</v>
      </c>
      <c r="G469" s="241">
        <v>753.6</v>
      </c>
      <c r="H469" s="241">
        <v>753.51499999999999</v>
      </c>
      <c r="I469" s="365">
        <f t="shared" si="174"/>
        <v>99.988720806794049</v>
      </c>
    </row>
    <row r="470" spans="1:9" x14ac:dyDescent="0.3">
      <c r="A470" s="87"/>
      <c r="B470" s="63" t="s">
        <v>130</v>
      </c>
      <c r="C470" s="63"/>
      <c r="D470" s="86"/>
      <c r="E470" s="85" t="s">
        <v>129</v>
      </c>
      <c r="F470" s="84">
        <f>F471+F484</f>
        <v>68500.966879999993</v>
      </c>
      <c r="G470" s="84">
        <f t="shared" ref="G470:H470" si="195">G471+G484</f>
        <v>84262.479609999995</v>
      </c>
      <c r="H470" s="84">
        <f t="shared" si="195"/>
        <v>4124.1120499999997</v>
      </c>
      <c r="I470" s="350">
        <f t="shared" si="174"/>
        <v>4.8943635044779334</v>
      </c>
    </row>
    <row r="471" spans="1:9" x14ac:dyDescent="0.3">
      <c r="A471" s="87"/>
      <c r="B471" s="63" t="s">
        <v>128</v>
      </c>
      <c r="C471" s="63"/>
      <c r="D471" s="86"/>
      <c r="E471" s="85" t="s">
        <v>127</v>
      </c>
      <c r="F471" s="84">
        <f t="shared" ref="F471:H473" si="196">F472</f>
        <v>68472.966879999993</v>
      </c>
      <c r="G471" s="84">
        <f t="shared" si="196"/>
        <v>84234.479609999995</v>
      </c>
      <c r="H471" s="84">
        <f t="shared" si="196"/>
        <v>4096.1120499999997</v>
      </c>
      <c r="I471" s="350">
        <f t="shared" si="174"/>
        <v>4.862749872694323</v>
      </c>
    </row>
    <row r="472" spans="1:9" x14ac:dyDescent="0.3">
      <c r="A472" s="21"/>
      <c r="B472" s="23"/>
      <c r="C472" s="22" t="s">
        <v>36</v>
      </c>
      <c r="D472" s="23"/>
      <c r="E472" s="28" t="s">
        <v>35</v>
      </c>
      <c r="F472" s="27">
        <f t="shared" si="196"/>
        <v>68472.966879999993</v>
      </c>
      <c r="G472" s="27">
        <f t="shared" si="196"/>
        <v>84234.479609999995</v>
      </c>
      <c r="H472" s="27">
        <f t="shared" si="196"/>
        <v>4096.1120499999997</v>
      </c>
      <c r="I472" s="358">
        <f t="shared" si="174"/>
        <v>4.862749872694323</v>
      </c>
    </row>
    <row r="473" spans="1:9" ht="26.4" x14ac:dyDescent="0.3">
      <c r="A473" s="54"/>
      <c r="B473" s="34"/>
      <c r="C473" s="35" t="s">
        <v>281</v>
      </c>
      <c r="D473" s="34"/>
      <c r="E473" s="33" t="s">
        <v>280</v>
      </c>
      <c r="F473" s="32">
        <f t="shared" si="196"/>
        <v>68472.966879999993</v>
      </c>
      <c r="G473" s="32">
        <f t="shared" si="196"/>
        <v>84234.479609999995</v>
      </c>
      <c r="H473" s="32">
        <f t="shared" si="196"/>
        <v>4096.1120499999997</v>
      </c>
      <c r="I473" s="351">
        <f t="shared" si="174"/>
        <v>4.862749872694323</v>
      </c>
    </row>
    <row r="474" spans="1:9" ht="27" x14ac:dyDescent="0.3">
      <c r="A474" s="31"/>
      <c r="B474" s="31"/>
      <c r="C474" s="31" t="s">
        <v>279</v>
      </c>
      <c r="D474" s="31"/>
      <c r="E474" s="82" t="s">
        <v>100</v>
      </c>
      <c r="F474" s="29">
        <f>F475+F478</f>
        <v>68472.966879999993</v>
      </c>
      <c r="G474" s="29">
        <f t="shared" ref="G474:H474" si="197">G475+G478</f>
        <v>84234.479609999995</v>
      </c>
      <c r="H474" s="29">
        <f t="shared" si="197"/>
        <v>4096.1120499999997</v>
      </c>
      <c r="I474" s="352">
        <f t="shared" si="174"/>
        <v>4.862749872694323</v>
      </c>
    </row>
    <row r="475" spans="1:9" ht="40.200000000000003" x14ac:dyDescent="0.3">
      <c r="A475" s="190"/>
      <c r="B475" s="190"/>
      <c r="C475" s="190" t="s">
        <v>278</v>
      </c>
      <c r="D475" s="190"/>
      <c r="E475" s="191" t="s">
        <v>111</v>
      </c>
      <c r="F475" s="192">
        <f t="shared" ref="F475:H475" si="198">F477</f>
        <v>46.2</v>
      </c>
      <c r="G475" s="192">
        <f t="shared" si="198"/>
        <v>46.2</v>
      </c>
      <c r="H475" s="192">
        <f t="shared" si="198"/>
        <v>0</v>
      </c>
      <c r="I475" s="353">
        <f t="shared" si="174"/>
        <v>0</v>
      </c>
    </row>
    <row r="476" spans="1:9" s="24" customFormat="1" ht="27" x14ac:dyDescent="0.3">
      <c r="A476" s="7"/>
      <c r="B476" s="7"/>
      <c r="C476" s="7" t="s">
        <v>678</v>
      </c>
      <c r="D476" s="7"/>
      <c r="E476" s="6" t="s">
        <v>585</v>
      </c>
      <c r="F476" s="9">
        <f>F477</f>
        <v>46.2</v>
      </c>
      <c r="G476" s="9">
        <f t="shared" ref="G476:H476" si="199">G477</f>
        <v>46.2</v>
      </c>
      <c r="H476" s="9">
        <f t="shared" si="199"/>
        <v>0</v>
      </c>
      <c r="I476" s="354">
        <f t="shared" si="174"/>
        <v>0</v>
      </c>
    </row>
    <row r="477" spans="1:9" s="24" customFormat="1" x14ac:dyDescent="0.3">
      <c r="A477" s="7"/>
      <c r="B477" s="7"/>
      <c r="C477" s="7"/>
      <c r="D477" s="7" t="s">
        <v>12</v>
      </c>
      <c r="E477" s="6" t="s">
        <v>11</v>
      </c>
      <c r="F477" s="9">
        <v>46.2</v>
      </c>
      <c r="G477" s="9">
        <v>46.2</v>
      </c>
      <c r="H477" s="9">
        <v>0</v>
      </c>
      <c r="I477" s="354">
        <f t="shared" si="174"/>
        <v>0</v>
      </c>
    </row>
    <row r="478" spans="1:9" x14ac:dyDescent="0.3">
      <c r="A478" s="190"/>
      <c r="B478" s="190"/>
      <c r="C478" s="285" t="s">
        <v>803</v>
      </c>
      <c r="D478" s="285"/>
      <c r="E478" s="289" t="s">
        <v>804</v>
      </c>
      <c r="F478" s="192">
        <f>F479</f>
        <v>68426.766879999996</v>
      </c>
      <c r="G478" s="192">
        <f t="shared" ref="G478:H479" si="200">G479</f>
        <v>84188.279609999998</v>
      </c>
      <c r="H478" s="192">
        <f t="shared" si="200"/>
        <v>4096.1120499999997</v>
      </c>
      <c r="I478" s="353">
        <f t="shared" si="174"/>
        <v>4.8654184038147967</v>
      </c>
    </row>
    <row r="479" spans="1:9" s="24" customFormat="1" x14ac:dyDescent="0.3">
      <c r="A479" s="61"/>
      <c r="B479" s="61"/>
      <c r="C479" s="37" t="s">
        <v>805</v>
      </c>
      <c r="D479" s="23"/>
      <c r="E479" s="6" t="s">
        <v>599</v>
      </c>
      <c r="F479" s="9">
        <f>F480</f>
        <v>68426.766879999996</v>
      </c>
      <c r="G479" s="9">
        <f t="shared" si="200"/>
        <v>84188.279609999998</v>
      </c>
      <c r="H479" s="9">
        <f t="shared" si="200"/>
        <v>4096.1120499999997</v>
      </c>
      <c r="I479" s="354">
        <f t="shared" si="174"/>
        <v>4.8654184038147967</v>
      </c>
    </row>
    <row r="480" spans="1:9" x14ac:dyDescent="0.3">
      <c r="A480" s="83"/>
      <c r="B480" s="83"/>
      <c r="C480" s="61"/>
      <c r="D480" s="83"/>
      <c r="E480" s="81" t="s">
        <v>277</v>
      </c>
      <c r="F480" s="5">
        <f t="shared" ref="F480:H480" si="201">F481</f>
        <v>68426.766879999996</v>
      </c>
      <c r="G480" s="5">
        <f t="shared" si="201"/>
        <v>84188.279609999998</v>
      </c>
      <c r="H480" s="5">
        <f t="shared" si="201"/>
        <v>4096.1120499999997</v>
      </c>
      <c r="I480" s="359">
        <f t="shared" si="174"/>
        <v>4.8654184038147967</v>
      </c>
    </row>
    <row r="481" spans="1:9" ht="27" x14ac:dyDescent="0.3">
      <c r="A481" s="83"/>
      <c r="B481" s="83"/>
      <c r="C481" s="83"/>
      <c r="D481" s="75" t="s">
        <v>260</v>
      </c>
      <c r="E481" s="6" t="s">
        <v>259</v>
      </c>
      <c r="F481" s="5">
        <f t="shared" ref="F481:H481" si="202">F482+F483</f>
        <v>68426.766879999996</v>
      </c>
      <c r="G481" s="5">
        <f t="shared" si="202"/>
        <v>84188.279609999998</v>
      </c>
      <c r="H481" s="5">
        <f t="shared" si="202"/>
        <v>4096.1120499999997</v>
      </c>
      <c r="I481" s="359">
        <f t="shared" si="174"/>
        <v>4.8654184038147967</v>
      </c>
    </row>
    <row r="482" spans="1:9" x14ac:dyDescent="0.3">
      <c r="A482" s="83"/>
      <c r="B482" s="83"/>
      <c r="C482" s="83"/>
      <c r="D482" s="75"/>
      <c r="E482" s="6" t="s">
        <v>157</v>
      </c>
      <c r="F482" s="5">
        <v>68362.5</v>
      </c>
      <c r="G482" s="5">
        <v>84124.012730000002</v>
      </c>
      <c r="H482" s="5">
        <v>4096.1120499999997</v>
      </c>
      <c r="I482" s="359">
        <f t="shared" si="174"/>
        <v>4.8691353598961875</v>
      </c>
    </row>
    <row r="483" spans="1:9" x14ac:dyDescent="0.3">
      <c r="A483" s="83"/>
      <c r="B483" s="83"/>
      <c r="C483" s="83"/>
      <c r="D483" s="75"/>
      <c r="E483" s="6" t="s">
        <v>156</v>
      </c>
      <c r="F483" s="5">
        <v>64.26688</v>
      </c>
      <c r="G483" s="5">
        <v>64.26688</v>
      </c>
      <c r="H483" s="5">
        <v>0</v>
      </c>
      <c r="I483" s="359">
        <f t="shared" si="174"/>
        <v>0</v>
      </c>
    </row>
    <row r="484" spans="1:9" x14ac:dyDescent="0.3">
      <c r="A484" s="225"/>
      <c r="B484" s="23" t="s">
        <v>105</v>
      </c>
      <c r="C484" s="22"/>
      <c r="D484" s="21"/>
      <c r="E484" s="20" t="s">
        <v>104</v>
      </c>
      <c r="F484" s="60">
        <f t="shared" ref="F484:H489" si="203">F485</f>
        <v>28</v>
      </c>
      <c r="G484" s="60">
        <f t="shared" si="203"/>
        <v>28</v>
      </c>
      <c r="H484" s="60">
        <f t="shared" si="203"/>
        <v>28</v>
      </c>
      <c r="I484" s="385">
        <f t="shared" si="174"/>
        <v>100</v>
      </c>
    </row>
    <row r="485" spans="1:9" x14ac:dyDescent="0.3">
      <c r="A485" s="225"/>
      <c r="B485" s="23"/>
      <c r="C485" s="22" t="s">
        <v>36</v>
      </c>
      <c r="D485" s="21"/>
      <c r="E485" s="28" t="s">
        <v>35</v>
      </c>
      <c r="F485" s="60">
        <f t="shared" si="203"/>
        <v>28</v>
      </c>
      <c r="G485" s="60">
        <f t="shared" si="203"/>
        <v>28</v>
      </c>
      <c r="H485" s="60">
        <f t="shared" si="203"/>
        <v>28</v>
      </c>
      <c r="I485" s="385">
        <f t="shared" si="174"/>
        <v>100</v>
      </c>
    </row>
    <row r="486" spans="1:9" ht="26.4" x14ac:dyDescent="0.3">
      <c r="A486" s="226"/>
      <c r="B486" s="34"/>
      <c r="C486" s="35" t="s">
        <v>65</v>
      </c>
      <c r="D486" s="34"/>
      <c r="E486" s="33" t="s">
        <v>64</v>
      </c>
      <c r="F486" s="32">
        <f t="shared" si="203"/>
        <v>28</v>
      </c>
      <c r="G486" s="32">
        <f t="shared" si="203"/>
        <v>28</v>
      </c>
      <c r="H486" s="32">
        <f t="shared" si="203"/>
        <v>28</v>
      </c>
      <c r="I486" s="351">
        <f t="shared" si="174"/>
        <v>100</v>
      </c>
    </row>
    <row r="487" spans="1:9" ht="27" x14ac:dyDescent="0.3">
      <c r="A487" s="227"/>
      <c r="B487" s="31"/>
      <c r="C487" s="31" t="s">
        <v>101</v>
      </c>
      <c r="D487" s="31"/>
      <c r="E487" s="52" t="s">
        <v>100</v>
      </c>
      <c r="F487" s="29">
        <f t="shared" si="203"/>
        <v>28</v>
      </c>
      <c r="G487" s="29">
        <f t="shared" si="203"/>
        <v>28</v>
      </c>
      <c r="H487" s="29">
        <f t="shared" si="203"/>
        <v>28</v>
      </c>
      <c r="I487" s="352">
        <f t="shared" ref="I487:I564" si="204">H487/G487*100</f>
        <v>100</v>
      </c>
    </row>
    <row r="488" spans="1:9" ht="27" x14ac:dyDescent="0.3">
      <c r="A488" s="228"/>
      <c r="B488" s="190"/>
      <c r="C488" s="190" t="s">
        <v>99</v>
      </c>
      <c r="D488" s="197"/>
      <c r="E488" s="191" t="s">
        <v>98</v>
      </c>
      <c r="F488" s="192">
        <f t="shared" si="203"/>
        <v>28</v>
      </c>
      <c r="G488" s="192">
        <f t="shared" si="203"/>
        <v>28</v>
      </c>
      <c r="H488" s="192">
        <f t="shared" si="203"/>
        <v>28</v>
      </c>
      <c r="I488" s="353">
        <f t="shared" si="204"/>
        <v>100</v>
      </c>
    </row>
    <row r="489" spans="1:9" s="58" customFormat="1" x14ac:dyDescent="0.3">
      <c r="A489" s="74"/>
      <c r="B489" s="7"/>
      <c r="C489" s="7" t="s">
        <v>577</v>
      </c>
      <c r="D489" s="7"/>
      <c r="E489" s="6" t="s">
        <v>578</v>
      </c>
      <c r="F489" s="242">
        <f t="shared" si="203"/>
        <v>28</v>
      </c>
      <c r="G489" s="242">
        <f t="shared" si="203"/>
        <v>28</v>
      </c>
      <c r="H489" s="242">
        <f t="shared" si="203"/>
        <v>28</v>
      </c>
      <c r="I489" s="376">
        <f t="shared" si="204"/>
        <v>100</v>
      </c>
    </row>
    <row r="490" spans="1:9" s="58" customFormat="1" x14ac:dyDescent="0.3">
      <c r="A490" s="74"/>
      <c r="B490" s="7"/>
      <c r="C490" s="7"/>
      <c r="D490" s="7" t="s">
        <v>12</v>
      </c>
      <c r="E490" s="6" t="s">
        <v>11</v>
      </c>
      <c r="F490" s="242">
        <v>28</v>
      </c>
      <c r="G490" s="242">
        <v>28</v>
      </c>
      <c r="H490" s="242">
        <v>28</v>
      </c>
      <c r="I490" s="376">
        <f t="shared" si="204"/>
        <v>100</v>
      </c>
    </row>
    <row r="491" spans="1:9" x14ac:dyDescent="0.3">
      <c r="A491" s="21"/>
      <c r="B491" s="23">
        <v>1000</v>
      </c>
      <c r="C491" s="22"/>
      <c r="D491" s="21"/>
      <c r="E491" s="20" t="s">
        <v>89</v>
      </c>
      <c r="F491" s="27">
        <f>F492+F499+F520+F531</f>
        <v>17316.802499999998</v>
      </c>
      <c r="G491" s="27">
        <f>G492+G499+G520+G531</f>
        <v>20902.909</v>
      </c>
      <c r="H491" s="27">
        <f>H492+H499+H520+H531</f>
        <v>19570.25173</v>
      </c>
      <c r="I491" s="358">
        <f t="shared" si="204"/>
        <v>93.624536804901169</v>
      </c>
    </row>
    <row r="492" spans="1:9" x14ac:dyDescent="0.3">
      <c r="A492" s="21"/>
      <c r="B492" s="23" t="s">
        <v>276</v>
      </c>
      <c r="C492" s="22"/>
      <c r="D492" s="21"/>
      <c r="E492" s="28" t="s">
        <v>275</v>
      </c>
      <c r="F492" s="27">
        <f t="shared" ref="F492:H497" si="205">F493</f>
        <v>8606.5</v>
      </c>
      <c r="G492" s="27">
        <f t="shared" si="205"/>
        <v>8606.5</v>
      </c>
      <c r="H492" s="27">
        <f t="shared" si="205"/>
        <v>8444.1547599999994</v>
      </c>
      <c r="I492" s="358">
        <f t="shared" si="204"/>
        <v>98.113690350316617</v>
      </c>
    </row>
    <row r="493" spans="1:9" x14ac:dyDescent="0.3">
      <c r="A493" s="21"/>
      <c r="B493" s="23"/>
      <c r="C493" s="22" t="s">
        <v>36</v>
      </c>
      <c r="D493" s="23"/>
      <c r="E493" s="28" t="s">
        <v>35</v>
      </c>
      <c r="F493" s="27">
        <f t="shared" si="205"/>
        <v>8606.5</v>
      </c>
      <c r="G493" s="27">
        <f t="shared" si="205"/>
        <v>8606.5</v>
      </c>
      <c r="H493" s="27">
        <f t="shared" si="205"/>
        <v>8444.1547599999994</v>
      </c>
      <c r="I493" s="358">
        <f t="shared" si="204"/>
        <v>98.113690350316617</v>
      </c>
    </row>
    <row r="494" spans="1:9" ht="26.4" x14ac:dyDescent="0.3">
      <c r="A494" s="54"/>
      <c r="B494" s="34"/>
      <c r="C494" s="35" t="s">
        <v>34</v>
      </c>
      <c r="D494" s="34"/>
      <c r="E494" s="33" t="s">
        <v>103</v>
      </c>
      <c r="F494" s="32">
        <f t="shared" si="205"/>
        <v>8606.5</v>
      </c>
      <c r="G494" s="32">
        <f t="shared" si="205"/>
        <v>8606.5</v>
      </c>
      <c r="H494" s="32">
        <f t="shared" si="205"/>
        <v>8444.1547599999994</v>
      </c>
      <c r="I494" s="351">
        <f t="shared" si="204"/>
        <v>98.113690350316617</v>
      </c>
    </row>
    <row r="495" spans="1:9" ht="27" x14ac:dyDescent="0.3">
      <c r="A495" s="31"/>
      <c r="B495" s="31"/>
      <c r="C495" s="31" t="s">
        <v>32</v>
      </c>
      <c r="D495" s="31"/>
      <c r="E495" s="82" t="s">
        <v>31</v>
      </c>
      <c r="F495" s="29">
        <f t="shared" si="205"/>
        <v>8606.5</v>
      </c>
      <c r="G495" s="29">
        <f t="shared" si="205"/>
        <v>8606.5</v>
      </c>
      <c r="H495" s="29">
        <f t="shared" si="205"/>
        <v>8444.1547599999994</v>
      </c>
      <c r="I495" s="352">
        <f t="shared" si="204"/>
        <v>98.113690350316617</v>
      </c>
    </row>
    <row r="496" spans="1:9" ht="40.200000000000003" x14ac:dyDescent="0.3">
      <c r="A496" s="190"/>
      <c r="B496" s="190"/>
      <c r="C496" s="190" t="s">
        <v>30</v>
      </c>
      <c r="D496" s="190"/>
      <c r="E496" s="191" t="s">
        <v>29</v>
      </c>
      <c r="F496" s="192">
        <f t="shared" si="205"/>
        <v>8606.5</v>
      </c>
      <c r="G496" s="192">
        <f t="shared" si="205"/>
        <v>8606.5</v>
      </c>
      <c r="H496" s="192">
        <f t="shared" si="205"/>
        <v>8444.1547599999994</v>
      </c>
      <c r="I496" s="353">
        <f t="shared" si="204"/>
        <v>98.113690350316617</v>
      </c>
    </row>
    <row r="497" spans="1:9" ht="27" x14ac:dyDescent="0.3">
      <c r="A497" s="8"/>
      <c r="B497" s="8"/>
      <c r="C497" s="7" t="s">
        <v>274</v>
      </c>
      <c r="D497" s="7"/>
      <c r="E497" s="64" t="s">
        <v>273</v>
      </c>
      <c r="F497" s="9">
        <f t="shared" si="205"/>
        <v>8606.5</v>
      </c>
      <c r="G497" s="9">
        <f t="shared" si="205"/>
        <v>8606.5</v>
      </c>
      <c r="H497" s="9">
        <f t="shared" si="205"/>
        <v>8444.1547599999994</v>
      </c>
      <c r="I497" s="354">
        <f t="shared" si="204"/>
        <v>98.113690350316617</v>
      </c>
    </row>
    <row r="498" spans="1:9" x14ac:dyDescent="0.3">
      <c r="A498" s="8"/>
      <c r="B498" s="8"/>
      <c r="C498" s="7"/>
      <c r="D498" s="7" t="s">
        <v>79</v>
      </c>
      <c r="E498" s="6" t="s">
        <v>78</v>
      </c>
      <c r="F498" s="9">
        <f>8666.7-60.2</f>
        <v>8606.5</v>
      </c>
      <c r="G498" s="9">
        <f t="shared" ref="G498" si="206">8666.7-60.2</f>
        <v>8606.5</v>
      </c>
      <c r="H498" s="9">
        <v>8444.1547599999994</v>
      </c>
      <c r="I498" s="354">
        <f t="shared" si="204"/>
        <v>98.113690350316617</v>
      </c>
    </row>
    <row r="499" spans="1:9" x14ac:dyDescent="0.3">
      <c r="A499" s="21"/>
      <c r="B499" s="23" t="s">
        <v>272</v>
      </c>
      <c r="C499" s="22"/>
      <c r="D499" s="21"/>
      <c r="E499" s="20" t="s">
        <v>88</v>
      </c>
      <c r="F499" s="27">
        <f t="shared" ref="F499:H499" si="207">F500</f>
        <v>2053.1041399999999</v>
      </c>
      <c r="G499" s="27">
        <f t="shared" si="207"/>
        <v>6410.82773</v>
      </c>
      <c r="H499" s="27">
        <f t="shared" si="207"/>
        <v>6410.0502499999993</v>
      </c>
      <c r="I499" s="358">
        <f t="shared" si="204"/>
        <v>99.987872392883645</v>
      </c>
    </row>
    <row r="500" spans="1:9" x14ac:dyDescent="0.3">
      <c r="A500" s="21"/>
      <c r="B500" s="23"/>
      <c r="C500" s="22" t="s">
        <v>36</v>
      </c>
      <c r="D500" s="23"/>
      <c r="E500" s="28" t="s">
        <v>35</v>
      </c>
      <c r="F500" s="27">
        <f t="shared" ref="F500:H500" si="208">F501+F506</f>
        <v>2053.1041399999999</v>
      </c>
      <c r="G500" s="27">
        <f t="shared" si="208"/>
        <v>6410.82773</v>
      </c>
      <c r="H500" s="27">
        <f t="shared" si="208"/>
        <v>6410.0502499999993</v>
      </c>
      <c r="I500" s="358">
        <f t="shared" si="204"/>
        <v>99.987872392883645</v>
      </c>
    </row>
    <row r="501" spans="1:9" ht="26.4" x14ac:dyDescent="0.3">
      <c r="A501" s="54"/>
      <c r="B501" s="34"/>
      <c r="C501" s="35" t="s">
        <v>271</v>
      </c>
      <c r="D501" s="34"/>
      <c r="E501" s="33" t="s">
        <v>270</v>
      </c>
      <c r="F501" s="32">
        <f>F502</f>
        <v>1421.9</v>
      </c>
      <c r="G501" s="32">
        <f t="shared" ref="G501:H502" si="209">G502</f>
        <v>711.46771000000001</v>
      </c>
      <c r="H501" s="32">
        <f t="shared" si="209"/>
        <v>710.69024999999999</v>
      </c>
      <c r="I501" s="351">
        <f t="shared" si="204"/>
        <v>99.890724485584869</v>
      </c>
    </row>
    <row r="502" spans="1:9" ht="27" x14ac:dyDescent="0.3">
      <c r="A502" s="190"/>
      <c r="B502" s="190"/>
      <c r="C502" s="190" t="s">
        <v>269</v>
      </c>
      <c r="D502" s="190"/>
      <c r="E502" s="191" t="s">
        <v>268</v>
      </c>
      <c r="F502" s="192">
        <f>F503</f>
        <v>1421.9</v>
      </c>
      <c r="G502" s="192">
        <f t="shared" si="209"/>
        <v>711.46771000000001</v>
      </c>
      <c r="H502" s="192">
        <f t="shared" si="209"/>
        <v>710.69024999999999</v>
      </c>
      <c r="I502" s="353">
        <f t="shared" si="204"/>
        <v>99.890724485584869</v>
      </c>
    </row>
    <row r="503" spans="1:9" ht="27" x14ac:dyDescent="0.3">
      <c r="A503" s="8"/>
      <c r="B503" s="8"/>
      <c r="C503" s="7" t="s">
        <v>267</v>
      </c>
      <c r="D503" s="7"/>
      <c r="E503" s="81" t="s">
        <v>266</v>
      </c>
      <c r="F503" s="9">
        <f>F504</f>
        <v>1421.9</v>
      </c>
      <c r="G503" s="9">
        <f>G504+G505</f>
        <v>711.46771000000001</v>
      </c>
      <c r="H503" s="9">
        <f>H504+H505</f>
        <v>710.69024999999999</v>
      </c>
      <c r="I503" s="354">
        <f t="shared" si="204"/>
        <v>99.890724485584869</v>
      </c>
    </row>
    <row r="504" spans="1:9" x14ac:dyDescent="0.3">
      <c r="A504" s="8"/>
      <c r="B504" s="8"/>
      <c r="C504" s="7"/>
      <c r="D504" s="7" t="s">
        <v>79</v>
      </c>
      <c r="E504" s="6" t="s">
        <v>78</v>
      </c>
      <c r="F504" s="9">
        <v>1421.9</v>
      </c>
      <c r="G504" s="9">
        <v>671.46771000000001</v>
      </c>
      <c r="H504" s="9">
        <v>670.69024999999999</v>
      </c>
      <c r="I504" s="354">
        <f t="shared" si="204"/>
        <v>99.884214834396133</v>
      </c>
    </row>
    <row r="505" spans="1:9" x14ac:dyDescent="0.3">
      <c r="A505" s="343"/>
      <c r="B505" s="343"/>
      <c r="C505" s="342"/>
      <c r="D505" s="342" t="s">
        <v>22</v>
      </c>
      <c r="E505" s="391" t="s">
        <v>21</v>
      </c>
      <c r="F505" s="344"/>
      <c r="G505" s="344">
        <v>40</v>
      </c>
      <c r="H505" s="344">
        <v>40</v>
      </c>
      <c r="I505" s="354">
        <f t="shared" si="204"/>
        <v>100</v>
      </c>
    </row>
    <row r="506" spans="1:9" ht="40.200000000000003" x14ac:dyDescent="0.3">
      <c r="A506" s="54"/>
      <c r="B506" s="34"/>
      <c r="C506" s="206" t="s">
        <v>351</v>
      </c>
      <c r="D506" s="210"/>
      <c r="E506" s="209" t="s">
        <v>609</v>
      </c>
      <c r="F506" s="96">
        <f t="shared" ref="F506:H508" si="210">F507</f>
        <v>631.20413999999994</v>
      </c>
      <c r="G506" s="96">
        <f>G507+G513</f>
        <v>5699.3600200000001</v>
      </c>
      <c r="H506" s="96">
        <f>H507+H513</f>
        <v>5699.36</v>
      </c>
      <c r="I506" s="381">
        <f t="shared" si="204"/>
        <v>99.999999649083406</v>
      </c>
    </row>
    <row r="507" spans="1:9" ht="40.200000000000003" x14ac:dyDescent="0.3">
      <c r="A507" s="190"/>
      <c r="B507" s="190"/>
      <c r="C507" s="190" t="s">
        <v>741</v>
      </c>
      <c r="D507" s="197"/>
      <c r="E507" s="191" t="s">
        <v>350</v>
      </c>
      <c r="F507" s="192">
        <f t="shared" si="210"/>
        <v>631.20413999999994</v>
      </c>
      <c r="G507" s="192">
        <f t="shared" si="210"/>
        <v>0</v>
      </c>
      <c r="H507" s="192">
        <f t="shared" si="210"/>
        <v>0</v>
      </c>
      <c r="I507" s="353" t="e">
        <f t="shared" si="204"/>
        <v>#DIV/0!</v>
      </c>
    </row>
    <row r="508" spans="1:9" ht="27" x14ac:dyDescent="0.3">
      <c r="A508" s="8"/>
      <c r="B508" s="8"/>
      <c r="C508" s="177" t="s">
        <v>579</v>
      </c>
      <c r="D508" s="177"/>
      <c r="E508" s="178" t="s">
        <v>742</v>
      </c>
      <c r="F508" s="9">
        <f t="shared" si="210"/>
        <v>631.20413999999994</v>
      </c>
      <c r="G508" s="9"/>
      <c r="H508" s="9"/>
      <c r="I508" s="354"/>
    </row>
    <row r="509" spans="1:9" x14ac:dyDescent="0.3">
      <c r="A509" s="8"/>
      <c r="B509" s="8"/>
      <c r="C509" s="177"/>
      <c r="D509" s="177">
        <v>300</v>
      </c>
      <c r="E509" s="6" t="s">
        <v>78</v>
      </c>
      <c r="F509" s="9">
        <f>F512</f>
        <v>631.20413999999994</v>
      </c>
      <c r="G509" s="9"/>
      <c r="H509" s="9"/>
      <c r="I509" s="354"/>
    </row>
    <row r="510" spans="1:9" x14ac:dyDescent="0.3">
      <c r="A510" s="343"/>
      <c r="B510" s="343"/>
      <c r="C510" s="417"/>
      <c r="D510" s="417"/>
      <c r="E510" s="6" t="s">
        <v>109</v>
      </c>
      <c r="F510" s="344"/>
      <c r="G510" s="344"/>
      <c r="H510" s="344"/>
      <c r="I510" s="354"/>
    </row>
    <row r="511" spans="1:9" x14ac:dyDescent="0.3">
      <c r="A511" s="343"/>
      <c r="B511" s="343"/>
      <c r="C511" s="417"/>
      <c r="D511" s="417"/>
      <c r="E511" s="6" t="s">
        <v>108</v>
      </c>
      <c r="F511" s="344"/>
      <c r="G511" s="344"/>
      <c r="H511" s="344"/>
      <c r="I511" s="354"/>
    </row>
    <row r="512" spans="1:9" x14ac:dyDescent="0.3">
      <c r="A512" s="8"/>
      <c r="B512" s="8"/>
      <c r="C512" s="7"/>
      <c r="D512" s="7"/>
      <c r="E512" s="6" t="s">
        <v>106</v>
      </c>
      <c r="F512" s="9">
        <v>631.20413999999994</v>
      </c>
      <c r="G512" s="9"/>
      <c r="H512" s="9"/>
      <c r="I512" s="354"/>
    </row>
    <row r="513" spans="1:9" x14ac:dyDescent="0.3">
      <c r="A513" s="190"/>
      <c r="B513" s="190"/>
      <c r="C513" s="722" t="s">
        <v>1107</v>
      </c>
      <c r="D513" s="723"/>
      <c r="E513" s="724" t="s">
        <v>1108</v>
      </c>
      <c r="F513" s="192">
        <f t="shared" ref="F513:H518" si="211">F514</f>
        <v>0</v>
      </c>
      <c r="G513" s="192">
        <f>G514+G516+G518</f>
        <v>5699.3600200000001</v>
      </c>
      <c r="H513" s="192">
        <f>H514+H516+H518</f>
        <v>5699.36</v>
      </c>
      <c r="I513" s="353">
        <f t="shared" ref="I513:I515" si="212">H513/G513*100</f>
        <v>99.999999649083406</v>
      </c>
    </row>
    <row r="514" spans="1:9" ht="40.200000000000003" x14ac:dyDescent="0.3">
      <c r="A514" s="8"/>
      <c r="B514" s="8"/>
      <c r="C514" s="721" t="s">
        <v>1109</v>
      </c>
      <c r="D514" s="721"/>
      <c r="E514" s="725" t="s">
        <v>1110</v>
      </c>
      <c r="F514" s="9"/>
      <c r="G514" s="9">
        <f t="shared" si="211"/>
        <v>3174.5435200000002</v>
      </c>
      <c r="H514" s="9">
        <f t="shared" si="211"/>
        <v>3174.5435200000002</v>
      </c>
      <c r="I514" s="354">
        <f t="shared" si="212"/>
        <v>100</v>
      </c>
    </row>
    <row r="515" spans="1:9" x14ac:dyDescent="0.3">
      <c r="A515" s="8"/>
      <c r="B515" s="8"/>
      <c r="C515" s="719"/>
      <c r="D515" s="719" t="s">
        <v>79</v>
      </c>
      <c r="E515" s="720" t="s">
        <v>78</v>
      </c>
      <c r="F515" s="9"/>
      <c r="G515" s="344">
        <v>3174.5435200000002</v>
      </c>
      <c r="H515" s="344">
        <v>3174.5435200000002</v>
      </c>
      <c r="I515" s="354">
        <f t="shared" si="212"/>
        <v>100</v>
      </c>
    </row>
    <row r="516" spans="1:9" ht="27" x14ac:dyDescent="0.3">
      <c r="A516" s="8"/>
      <c r="B516" s="8"/>
      <c r="C516" s="721" t="s">
        <v>1111</v>
      </c>
      <c r="D516" s="721"/>
      <c r="E516" s="725" t="s">
        <v>742</v>
      </c>
      <c r="F516" s="9"/>
      <c r="G516" s="9">
        <f t="shared" si="211"/>
        <v>1893.6123600000001</v>
      </c>
      <c r="H516" s="9">
        <f t="shared" si="211"/>
        <v>1893.6123399999999</v>
      </c>
      <c r="I516" s="354">
        <f t="shared" ref="I516:I517" si="213">H516/G516*100</f>
        <v>99.999998943817616</v>
      </c>
    </row>
    <row r="517" spans="1:9" x14ac:dyDescent="0.3">
      <c r="A517" s="8"/>
      <c r="B517" s="8"/>
      <c r="C517" s="719"/>
      <c r="D517" s="719" t="s">
        <v>79</v>
      </c>
      <c r="E517" s="720" t="s">
        <v>78</v>
      </c>
      <c r="F517" s="9"/>
      <c r="G517" s="344">
        <v>1893.6123600000001</v>
      </c>
      <c r="H517" s="344">
        <v>1893.6123399999999</v>
      </c>
      <c r="I517" s="354">
        <f t="shared" si="213"/>
        <v>99.999998943817616</v>
      </c>
    </row>
    <row r="518" spans="1:9" ht="27" x14ac:dyDescent="0.3">
      <c r="A518" s="8"/>
      <c r="B518" s="8"/>
      <c r="C518" s="721" t="s">
        <v>1112</v>
      </c>
      <c r="D518" s="721"/>
      <c r="E518" s="725" t="s">
        <v>1113</v>
      </c>
      <c r="F518" s="9"/>
      <c r="G518" s="9">
        <f t="shared" si="211"/>
        <v>631.20413999999994</v>
      </c>
      <c r="H518" s="9">
        <f t="shared" si="211"/>
        <v>631.20413999999994</v>
      </c>
      <c r="I518" s="354">
        <f t="shared" ref="I518:I519" si="214">H518/G518*100</f>
        <v>100</v>
      </c>
    </row>
    <row r="519" spans="1:9" x14ac:dyDescent="0.3">
      <c r="A519" s="8"/>
      <c r="B519" s="8"/>
      <c r="C519" s="719"/>
      <c r="D519" s="719" t="s">
        <v>79</v>
      </c>
      <c r="E519" s="720" t="s">
        <v>78</v>
      </c>
      <c r="F519" s="9"/>
      <c r="G519" s="9">
        <v>631.20413999999994</v>
      </c>
      <c r="H519" s="9">
        <v>631.20413999999994</v>
      </c>
      <c r="I519" s="354">
        <f t="shared" si="214"/>
        <v>100</v>
      </c>
    </row>
    <row r="520" spans="1:9" x14ac:dyDescent="0.3">
      <c r="A520" s="8"/>
      <c r="B520" s="23">
        <v>1004</v>
      </c>
      <c r="C520" s="22"/>
      <c r="D520" s="21"/>
      <c r="E520" s="20" t="s">
        <v>167</v>
      </c>
      <c r="F520" s="27">
        <f t="shared" ref="F520:H522" si="215">F521</f>
        <v>6564.1983600000003</v>
      </c>
      <c r="G520" s="27">
        <f t="shared" si="215"/>
        <v>5765.0823600000003</v>
      </c>
      <c r="H520" s="27">
        <f t="shared" si="215"/>
        <v>4633.2520000000004</v>
      </c>
      <c r="I520" s="358">
        <f t="shared" si="204"/>
        <v>80.367490187945904</v>
      </c>
    </row>
    <row r="521" spans="1:9" x14ac:dyDescent="0.3">
      <c r="A521" s="8"/>
      <c r="B521" s="23"/>
      <c r="C521" s="22" t="s">
        <v>36</v>
      </c>
      <c r="D521" s="23"/>
      <c r="E521" s="28" t="s">
        <v>166</v>
      </c>
      <c r="F521" s="27">
        <f t="shared" si="215"/>
        <v>6564.1983600000003</v>
      </c>
      <c r="G521" s="27">
        <f t="shared" si="215"/>
        <v>5765.0823600000003</v>
      </c>
      <c r="H521" s="27">
        <f t="shared" si="215"/>
        <v>4633.2520000000004</v>
      </c>
      <c r="I521" s="358">
        <f t="shared" si="204"/>
        <v>80.367490187945904</v>
      </c>
    </row>
    <row r="522" spans="1:9" ht="26.4" x14ac:dyDescent="0.3">
      <c r="A522" s="54"/>
      <c r="B522" s="34"/>
      <c r="C522" s="35" t="s">
        <v>256</v>
      </c>
      <c r="D522" s="34"/>
      <c r="E522" s="33" t="s">
        <v>255</v>
      </c>
      <c r="F522" s="32">
        <f>F523</f>
        <v>6564.1983600000003</v>
      </c>
      <c r="G522" s="32">
        <f t="shared" si="215"/>
        <v>5765.0823600000003</v>
      </c>
      <c r="H522" s="32">
        <f t="shared" si="215"/>
        <v>4633.2520000000004</v>
      </c>
      <c r="I522" s="351">
        <f t="shared" si="204"/>
        <v>80.367490187945904</v>
      </c>
    </row>
    <row r="523" spans="1:9" x14ac:dyDescent="0.3">
      <c r="A523" s="190"/>
      <c r="B523" s="190"/>
      <c r="C523" s="190" t="s">
        <v>265</v>
      </c>
      <c r="D523" s="190"/>
      <c r="E523" s="191" t="s">
        <v>264</v>
      </c>
      <c r="F523" s="192">
        <f>F526+F524</f>
        <v>6564.1983600000003</v>
      </c>
      <c r="G523" s="192">
        <f t="shared" ref="G523:H523" si="216">G526+G524</f>
        <v>5765.0823600000003</v>
      </c>
      <c r="H523" s="192">
        <f t="shared" si="216"/>
        <v>4633.2520000000004</v>
      </c>
      <c r="I523" s="353">
        <f t="shared" si="204"/>
        <v>80.367490187945904</v>
      </c>
    </row>
    <row r="524" spans="1:9" s="24" customFormat="1" x14ac:dyDescent="0.3">
      <c r="A524" s="61"/>
      <c r="B524" s="61"/>
      <c r="C524" s="7" t="s">
        <v>263</v>
      </c>
      <c r="D524" s="7"/>
      <c r="E524" s="264" t="s">
        <v>771</v>
      </c>
      <c r="F524" s="9">
        <f>F525</f>
        <v>5012.1400000000003</v>
      </c>
      <c r="G524" s="9">
        <f t="shared" ref="G524:H524" si="217">G525</f>
        <v>2350.1</v>
      </c>
      <c r="H524" s="9">
        <f t="shared" si="217"/>
        <v>1218.2739999999999</v>
      </c>
      <c r="I524" s="354">
        <f t="shared" si="204"/>
        <v>51.839240883366664</v>
      </c>
    </row>
    <row r="525" spans="1:9" s="24" customFormat="1" x14ac:dyDescent="0.3">
      <c r="A525" s="61"/>
      <c r="B525" s="61"/>
      <c r="C525" s="7"/>
      <c r="D525" s="7" t="s">
        <v>79</v>
      </c>
      <c r="E525" s="6" t="s">
        <v>78</v>
      </c>
      <c r="F525" s="9">
        <v>5012.1400000000003</v>
      </c>
      <c r="G525" s="9">
        <v>2350.1</v>
      </c>
      <c r="H525" s="9">
        <v>1218.2739999999999</v>
      </c>
      <c r="I525" s="354">
        <f t="shared" si="204"/>
        <v>51.839240883366664</v>
      </c>
    </row>
    <row r="526" spans="1:9" ht="40.200000000000003" x14ac:dyDescent="0.3">
      <c r="A526" s="7"/>
      <c r="B526" s="7"/>
      <c r="C526" s="7" t="s">
        <v>262</v>
      </c>
      <c r="D526" s="7"/>
      <c r="E526" s="12" t="s">
        <v>261</v>
      </c>
      <c r="F526" s="9">
        <f>F527</f>
        <v>1552.05836</v>
      </c>
      <c r="G526" s="9">
        <f t="shared" ref="G526:H526" si="218">G527</f>
        <v>3414.98236</v>
      </c>
      <c r="H526" s="9">
        <f t="shared" si="218"/>
        <v>3414.9780000000001</v>
      </c>
      <c r="I526" s="354">
        <f t="shared" si="204"/>
        <v>99.999872327305368</v>
      </c>
    </row>
    <row r="527" spans="1:9" x14ac:dyDescent="0.3">
      <c r="A527" s="7"/>
      <c r="B527" s="7"/>
      <c r="C527" s="7"/>
      <c r="D527" s="7" t="s">
        <v>79</v>
      </c>
      <c r="E527" s="6" t="s">
        <v>78</v>
      </c>
      <c r="F527" s="9">
        <f>F530</f>
        <v>1552.05836</v>
      </c>
      <c r="G527" s="9">
        <f>G530+G529+G528</f>
        <v>3414.98236</v>
      </c>
      <c r="H527" s="9">
        <f>H530+H529+H528</f>
        <v>3414.9780000000001</v>
      </c>
      <c r="I527" s="354">
        <f t="shared" si="204"/>
        <v>99.999872327305368</v>
      </c>
    </row>
    <row r="528" spans="1:9" x14ac:dyDescent="0.3">
      <c r="A528" s="7"/>
      <c r="B528" s="7"/>
      <c r="C528" s="7"/>
      <c r="D528" s="7"/>
      <c r="E528" s="6" t="s">
        <v>109</v>
      </c>
      <c r="F528" s="9">
        <v>0</v>
      </c>
      <c r="G528" s="9">
        <v>1397.193</v>
      </c>
      <c r="H528" s="9">
        <v>1397.1896999999999</v>
      </c>
      <c r="I528" s="354">
        <f t="shared" si="204"/>
        <v>99.999763812157667</v>
      </c>
    </row>
    <row r="529" spans="1:9" x14ac:dyDescent="0.3">
      <c r="A529" s="7"/>
      <c r="B529" s="7"/>
      <c r="C529" s="7"/>
      <c r="D529" s="7"/>
      <c r="E529" s="6" t="s">
        <v>108</v>
      </c>
      <c r="F529" s="9">
        <v>0</v>
      </c>
      <c r="G529" s="9">
        <v>465.73099999999999</v>
      </c>
      <c r="H529" s="9">
        <v>465.72994</v>
      </c>
      <c r="I529" s="354">
        <f t="shared" si="204"/>
        <v>99.999772400806478</v>
      </c>
    </row>
    <row r="530" spans="1:9" x14ac:dyDescent="0.3">
      <c r="A530" s="7"/>
      <c r="B530" s="7"/>
      <c r="C530" s="7"/>
      <c r="D530" s="7"/>
      <c r="E530" s="6" t="s">
        <v>106</v>
      </c>
      <c r="F530" s="9">
        <v>1552.05836</v>
      </c>
      <c r="G530" s="9">
        <v>1552.05836</v>
      </c>
      <c r="H530" s="9">
        <v>1552.05836</v>
      </c>
      <c r="I530" s="354">
        <f t="shared" si="204"/>
        <v>100</v>
      </c>
    </row>
    <row r="531" spans="1:9" x14ac:dyDescent="0.3">
      <c r="A531" s="8"/>
      <c r="B531" s="23" t="s">
        <v>258</v>
      </c>
      <c r="C531" s="22"/>
      <c r="D531" s="21"/>
      <c r="E531" s="20" t="s">
        <v>257</v>
      </c>
      <c r="F531" s="27">
        <f t="shared" ref="F531:H535" si="219">F532</f>
        <v>93</v>
      </c>
      <c r="G531" s="27">
        <f t="shared" si="219"/>
        <v>120.49891</v>
      </c>
      <c r="H531" s="27">
        <f t="shared" si="219"/>
        <v>82.794719999999998</v>
      </c>
      <c r="I531" s="358">
        <f t="shared" si="204"/>
        <v>68.709932728852081</v>
      </c>
    </row>
    <row r="532" spans="1:9" x14ac:dyDescent="0.3">
      <c r="A532" s="8"/>
      <c r="B532" s="23"/>
      <c r="C532" s="22" t="s">
        <v>36</v>
      </c>
      <c r="D532" s="23"/>
      <c r="E532" s="28" t="s">
        <v>166</v>
      </c>
      <c r="F532" s="27">
        <f t="shared" si="219"/>
        <v>93</v>
      </c>
      <c r="G532" s="27">
        <f t="shared" si="219"/>
        <v>120.49891</v>
      </c>
      <c r="H532" s="27">
        <f t="shared" si="219"/>
        <v>82.794719999999998</v>
      </c>
      <c r="I532" s="358">
        <f t="shared" si="204"/>
        <v>68.709932728852081</v>
      </c>
    </row>
    <row r="533" spans="1:9" ht="26.4" x14ac:dyDescent="0.3">
      <c r="A533" s="54"/>
      <c r="B533" s="34"/>
      <c r="C533" s="35" t="s">
        <v>256</v>
      </c>
      <c r="D533" s="34"/>
      <c r="E533" s="33" t="s">
        <v>255</v>
      </c>
      <c r="F533" s="32">
        <f t="shared" si="219"/>
        <v>93</v>
      </c>
      <c r="G533" s="32">
        <f t="shared" si="219"/>
        <v>120.49891</v>
      </c>
      <c r="H533" s="32">
        <f t="shared" si="219"/>
        <v>82.794719999999998</v>
      </c>
      <c r="I533" s="351">
        <f t="shared" si="204"/>
        <v>68.709932728852081</v>
      </c>
    </row>
    <row r="534" spans="1:9" ht="40.200000000000003" x14ac:dyDescent="0.3">
      <c r="A534" s="190"/>
      <c r="B534" s="190"/>
      <c r="C534" s="190" t="s">
        <v>254</v>
      </c>
      <c r="D534" s="190"/>
      <c r="E534" s="191" t="s">
        <v>253</v>
      </c>
      <c r="F534" s="192">
        <f t="shared" si="219"/>
        <v>93</v>
      </c>
      <c r="G534" s="192">
        <f t="shared" si="219"/>
        <v>120.49891</v>
      </c>
      <c r="H534" s="192">
        <f t="shared" si="219"/>
        <v>82.794719999999998</v>
      </c>
      <c r="I534" s="353">
        <f t="shared" si="204"/>
        <v>68.709932728852081</v>
      </c>
    </row>
    <row r="535" spans="1:9" ht="27" x14ac:dyDescent="0.3">
      <c r="A535" s="8"/>
      <c r="B535" s="8"/>
      <c r="C535" s="7" t="s">
        <v>252</v>
      </c>
      <c r="D535" s="7"/>
      <c r="E535" s="6" t="s">
        <v>251</v>
      </c>
      <c r="F535" s="9">
        <f t="shared" si="219"/>
        <v>93</v>
      </c>
      <c r="G535" s="9">
        <f t="shared" si="219"/>
        <v>120.49891</v>
      </c>
      <c r="H535" s="9">
        <f t="shared" si="219"/>
        <v>82.794719999999998</v>
      </c>
      <c r="I535" s="354">
        <f t="shared" si="204"/>
        <v>68.709932728852081</v>
      </c>
    </row>
    <row r="536" spans="1:9" x14ac:dyDescent="0.3">
      <c r="A536" s="8"/>
      <c r="B536" s="8"/>
      <c r="C536" s="7"/>
      <c r="D536" s="7" t="s">
        <v>12</v>
      </c>
      <c r="E536" s="6" t="s">
        <v>11</v>
      </c>
      <c r="F536" s="9">
        <v>93</v>
      </c>
      <c r="G536" s="5">
        <v>120.49891</v>
      </c>
      <c r="H536" s="5">
        <v>82.794719999999998</v>
      </c>
      <c r="I536" s="354">
        <f t="shared" si="204"/>
        <v>68.709932728852081</v>
      </c>
    </row>
    <row r="537" spans="1:9" ht="26.4" x14ac:dyDescent="0.3">
      <c r="A537" s="40">
        <v>611</v>
      </c>
      <c r="B537" s="42"/>
      <c r="C537" s="41"/>
      <c r="D537" s="40"/>
      <c r="E537" s="39" t="s">
        <v>250</v>
      </c>
      <c r="F537" s="80">
        <f>F546+F688+F718</f>
        <v>596122.75069000002</v>
      </c>
      <c r="G537" s="80">
        <f>G546+G688+G718+G538</f>
        <v>688163.39294999989</v>
      </c>
      <c r="H537" s="80">
        <f>H546+H688+H718+H538</f>
        <v>685438.08375999983</v>
      </c>
      <c r="I537" s="386">
        <f t="shared" si="204"/>
        <v>99.603973530426074</v>
      </c>
    </row>
    <row r="538" spans="1:9" x14ac:dyDescent="0.3">
      <c r="A538" s="418"/>
      <c r="B538" s="394" t="s">
        <v>363</v>
      </c>
      <c r="C538" s="419"/>
      <c r="D538" s="418"/>
      <c r="E538" s="420" t="s">
        <v>362</v>
      </c>
      <c r="F538" s="421">
        <v>0</v>
      </c>
      <c r="G538" s="421">
        <f t="shared" ref="G538:H541" si="220">G539</f>
        <v>1079.4288799999999</v>
      </c>
      <c r="H538" s="421">
        <f t="shared" si="220"/>
        <v>1079.4288799999999</v>
      </c>
      <c r="I538" s="421">
        <f t="shared" si="204"/>
        <v>100</v>
      </c>
    </row>
    <row r="539" spans="1:9" x14ac:dyDescent="0.3">
      <c r="A539" s="418"/>
      <c r="B539" s="394" t="s">
        <v>349</v>
      </c>
      <c r="C539" s="419"/>
      <c r="D539" s="418"/>
      <c r="E539" s="420" t="s">
        <v>348</v>
      </c>
      <c r="F539" s="421">
        <v>0</v>
      </c>
      <c r="G539" s="421">
        <f t="shared" si="220"/>
        <v>1079.4288799999999</v>
      </c>
      <c r="H539" s="421">
        <f t="shared" si="220"/>
        <v>1079.4288799999999</v>
      </c>
      <c r="I539" s="421">
        <f t="shared" si="204"/>
        <v>100</v>
      </c>
    </row>
    <row r="540" spans="1:9" x14ac:dyDescent="0.3">
      <c r="A540" s="418"/>
      <c r="B540" s="405"/>
      <c r="C540" s="419" t="s">
        <v>36</v>
      </c>
      <c r="D540" s="418"/>
      <c r="E540" s="422" t="s">
        <v>35</v>
      </c>
      <c r="F540" s="421">
        <v>0</v>
      </c>
      <c r="G540" s="421">
        <f t="shared" si="220"/>
        <v>1079.4288799999999</v>
      </c>
      <c r="H540" s="421">
        <f t="shared" si="220"/>
        <v>1079.4288799999999</v>
      </c>
      <c r="I540" s="421">
        <f t="shared" si="204"/>
        <v>100</v>
      </c>
    </row>
    <row r="541" spans="1:9" ht="26.4" x14ac:dyDescent="0.3">
      <c r="A541" s="423"/>
      <c r="B541" s="424"/>
      <c r="C541" s="425" t="s">
        <v>293</v>
      </c>
      <c r="D541" s="424"/>
      <c r="E541" s="426" t="s">
        <v>292</v>
      </c>
      <c r="F541" s="427">
        <v>0</v>
      </c>
      <c r="G541" s="427">
        <f>G542</f>
        <v>1079.4288799999999</v>
      </c>
      <c r="H541" s="427">
        <f t="shared" si="220"/>
        <v>1079.4288799999999</v>
      </c>
      <c r="I541" s="427">
        <f t="shared" si="204"/>
        <v>100</v>
      </c>
    </row>
    <row r="542" spans="1:9" ht="27" x14ac:dyDescent="0.3">
      <c r="A542" s="428"/>
      <c r="B542" s="428"/>
      <c r="C542" s="428" t="s">
        <v>345</v>
      </c>
      <c r="D542" s="428"/>
      <c r="E542" s="429" t="s">
        <v>344</v>
      </c>
      <c r="F542" s="430">
        <v>0</v>
      </c>
      <c r="G542" s="430">
        <f t="shared" ref="G542:H543" si="221">G543</f>
        <v>1079.4288799999999</v>
      </c>
      <c r="H542" s="430">
        <f t="shared" si="221"/>
        <v>1079.4288799999999</v>
      </c>
      <c r="I542" s="430">
        <f t="shared" si="204"/>
        <v>100</v>
      </c>
    </row>
    <row r="543" spans="1:9" ht="27" x14ac:dyDescent="0.3">
      <c r="A543" s="413"/>
      <c r="B543" s="413"/>
      <c r="C543" s="413" t="s">
        <v>343</v>
      </c>
      <c r="D543" s="413"/>
      <c r="E543" s="431" t="s">
        <v>342</v>
      </c>
      <c r="F543" s="415">
        <v>0</v>
      </c>
      <c r="G543" s="415">
        <f>G544</f>
        <v>1079.4288799999999</v>
      </c>
      <c r="H543" s="415">
        <f t="shared" si="221"/>
        <v>1079.4288799999999</v>
      </c>
      <c r="I543" s="415">
        <f t="shared" si="204"/>
        <v>100</v>
      </c>
    </row>
    <row r="544" spans="1:9" x14ac:dyDescent="0.3">
      <c r="A544" s="342"/>
      <c r="B544" s="342"/>
      <c r="C544" s="342" t="s">
        <v>686</v>
      </c>
      <c r="D544" s="395"/>
      <c r="E544" s="432" t="s">
        <v>332</v>
      </c>
      <c r="F544" s="344">
        <v>0</v>
      </c>
      <c r="G544" s="344">
        <f>G545</f>
        <v>1079.4288799999999</v>
      </c>
      <c r="H544" s="344">
        <f>H545</f>
        <v>1079.4288799999999</v>
      </c>
      <c r="I544" s="344">
        <f t="shared" si="204"/>
        <v>100</v>
      </c>
    </row>
    <row r="545" spans="1:9" x14ac:dyDescent="0.3">
      <c r="A545" s="342"/>
      <c r="B545" s="342"/>
      <c r="C545" s="342"/>
      <c r="D545" s="342" t="s">
        <v>57</v>
      </c>
      <c r="E545" s="391" t="s">
        <v>11</v>
      </c>
      <c r="F545" s="344">
        <v>0</v>
      </c>
      <c r="G545" s="344">
        <v>1079.4288799999999</v>
      </c>
      <c r="H545" s="344">
        <v>1079.4288799999999</v>
      </c>
      <c r="I545" s="344">
        <f t="shared" si="204"/>
        <v>100</v>
      </c>
    </row>
    <row r="546" spans="1:9" x14ac:dyDescent="0.3">
      <c r="A546" s="37"/>
      <c r="B546" s="23" t="s">
        <v>154</v>
      </c>
      <c r="C546" s="22"/>
      <c r="D546" s="21"/>
      <c r="E546" s="20" t="s">
        <v>153</v>
      </c>
      <c r="F546" s="27">
        <f>F547+F566+F628+F637</f>
        <v>564165.42559</v>
      </c>
      <c r="G546" s="27">
        <f>G547+G566+G628+G637</f>
        <v>651454.23896999983</v>
      </c>
      <c r="H546" s="27">
        <f>H547+H566+H628+H637</f>
        <v>650666.20277999982</v>
      </c>
      <c r="I546" s="358">
        <f t="shared" si="204"/>
        <v>99.879034298518661</v>
      </c>
    </row>
    <row r="547" spans="1:9" x14ac:dyDescent="0.3">
      <c r="A547" s="37"/>
      <c r="B547" s="23" t="s">
        <v>249</v>
      </c>
      <c r="C547" s="22"/>
      <c r="D547" s="21"/>
      <c r="E547" s="20" t="s">
        <v>248</v>
      </c>
      <c r="F547" s="27">
        <f t="shared" ref="F547:H548" si="222">F548</f>
        <v>120782.72779999999</v>
      </c>
      <c r="G547" s="27">
        <f t="shared" si="222"/>
        <v>133474.92826999997</v>
      </c>
      <c r="H547" s="27">
        <f t="shared" si="222"/>
        <v>133474.92826999997</v>
      </c>
      <c r="I547" s="358">
        <f t="shared" si="204"/>
        <v>100</v>
      </c>
    </row>
    <row r="548" spans="1:9" s="78" customFormat="1" x14ac:dyDescent="0.3">
      <c r="A548" s="21"/>
      <c r="B548" s="23"/>
      <c r="C548" s="22" t="s">
        <v>36</v>
      </c>
      <c r="D548" s="21"/>
      <c r="E548" s="28" t="s">
        <v>166</v>
      </c>
      <c r="F548" s="27">
        <f t="shared" si="222"/>
        <v>120782.72779999999</v>
      </c>
      <c r="G548" s="27">
        <f t="shared" si="222"/>
        <v>133474.92826999997</v>
      </c>
      <c r="H548" s="27">
        <f t="shared" si="222"/>
        <v>133474.92826999997</v>
      </c>
      <c r="I548" s="358">
        <f t="shared" si="204"/>
        <v>100</v>
      </c>
    </row>
    <row r="549" spans="1:9" ht="26.4" x14ac:dyDescent="0.3">
      <c r="A549" s="54"/>
      <c r="B549" s="34"/>
      <c r="C549" s="35" t="s">
        <v>87</v>
      </c>
      <c r="D549" s="34"/>
      <c r="E549" s="33" t="s">
        <v>215</v>
      </c>
      <c r="F549" s="32">
        <f>F550+F562</f>
        <v>120782.72779999999</v>
      </c>
      <c r="G549" s="32">
        <f>G550+G562</f>
        <v>133474.92826999997</v>
      </c>
      <c r="H549" s="32">
        <f>H550+H562</f>
        <v>133474.92826999997</v>
      </c>
      <c r="I549" s="351">
        <f t="shared" si="204"/>
        <v>100</v>
      </c>
    </row>
    <row r="550" spans="1:9" x14ac:dyDescent="0.3">
      <c r="A550" s="31"/>
      <c r="B550" s="31"/>
      <c r="C550" s="31" t="s">
        <v>165</v>
      </c>
      <c r="D550" s="31"/>
      <c r="E550" s="52" t="s">
        <v>164</v>
      </c>
      <c r="F550" s="29">
        <f>F551</f>
        <v>119999.1394</v>
      </c>
      <c r="G550" s="29">
        <f t="shared" ref="G550:H550" si="223">G551</f>
        <v>132414.61666999999</v>
      </c>
      <c r="H550" s="29">
        <f t="shared" si="223"/>
        <v>132414.61666999999</v>
      </c>
      <c r="I550" s="352">
        <f t="shared" si="204"/>
        <v>100</v>
      </c>
    </row>
    <row r="551" spans="1:9" ht="27" x14ac:dyDescent="0.3">
      <c r="A551" s="190"/>
      <c r="B551" s="190"/>
      <c r="C551" s="190" t="s">
        <v>163</v>
      </c>
      <c r="D551" s="190"/>
      <c r="E551" s="191" t="s">
        <v>181</v>
      </c>
      <c r="F551" s="192">
        <f>F552+F554+F557+F559</f>
        <v>119999.1394</v>
      </c>
      <c r="G551" s="192">
        <f t="shared" ref="G551:H551" si="224">G552+G554+G557+G559</f>
        <v>132414.61666999999</v>
      </c>
      <c r="H551" s="192">
        <f t="shared" si="224"/>
        <v>132414.61666999999</v>
      </c>
      <c r="I551" s="353">
        <f t="shared" si="204"/>
        <v>100</v>
      </c>
    </row>
    <row r="552" spans="1:9" ht="27" x14ac:dyDescent="0.3">
      <c r="A552" s="8"/>
      <c r="B552" s="8"/>
      <c r="C552" s="7" t="s">
        <v>247</v>
      </c>
      <c r="D552" s="61"/>
      <c r="E552" s="6" t="s">
        <v>246</v>
      </c>
      <c r="F552" s="9">
        <f>F553</f>
        <v>24570</v>
      </c>
      <c r="G552" s="9">
        <f t="shared" ref="G552:H552" si="225">G553</f>
        <v>24570</v>
      </c>
      <c r="H552" s="9">
        <f t="shared" si="225"/>
        <v>24570</v>
      </c>
      <c r="I552" s="354">
        <f t="shared" si="204"/>
        <v>100</v>
      </c>
    </row>
    <row r="553" spans="1:9" ht="27" x14ac:dyDescent="0.3">
      <c r="A553" s="8"/>
      <c r="B553" s="8"/>
      <c r="C553" s="7"/>
      <c r="D553" s="7" t="s">
        <v>57</v>
      </c>
      <c r="E553" s="6" t="s">
        <v>56</v>
      </c>
      <c r="F553" s="9">
        <v>24570</v>
      </c>
      <c r="G553" s="9">
        <v>24570</v>
      </c>
      <c r="H553" s="9">
        <v>24570</v>
      </c>
      <c r="I553" s="354">
        <f t="shared" si="204"/>
        <v>100</v>
      </c>
    </row>
    <row r="554" spans="1:9" ht="40.200000000000003" x14ac:dyDescent="0.3">
      <c r="A554" s="8"/>
      <c r="B554" s="8"/>
      <c r="C554" s="7" t="s">
        <v>245</v>
      </c>
      <c r="D554" s="7"/>
      <c r="E554" s="6" t="s">
        <v>244</v>
      </c>
      <c r="F554" s="9">
        <f>F555+F556</f>
        <v>93455.039399999994</v>
      </c>
      <c r="G554" s="9">
        <f t="shared" ref="G554:H554" si="226">G555+G556</f>
        <v>105870.51667</v>
      </c>
      <c r="H554" s="9">
        <f t="shared" si="226"/>
        <v>105870.51667</v>
      </c>
      <c r="I554" s="354">
        <f t="shared" si="204"/>
        <v>100</v>
      </c>
    </row>
    <row r="555" spans="1:9" x14ac:dyDescent="0.3">
      <c r="A555" s="8"/>
      <c r="B555" s="8"/>
      <c r="C555" s="7"/>
      <c r="D555" s="7" t="s">
        <v>79</v>
      </c>
      <c r="E555" s="6" t="s">
        <v>78</v>
      </c>
      <c r="F555" s="9">
        <v>23.352499999999999</v>
      </c>
      <c r="G555" s="9">
        <v>23.352499999999999</v>
      </c>
      <c r="H555" s="9">
        <v>23.352499999999999</v>
      </c>
      <c r="I555" s="354">
        <f t="shared" si="204"/>
        <v>100</v>
      </c>
    </row>
    <row r="556" spans="1:9" ht="27" x14ac:dyDescent="0.3">
      <c r="A556" s="8"/>
      <c r="B556" s="8"/>
      <c r="C556" s="7"/>
      <c r="D556" s="7" t="s">
        <v>57</v>
      </c>
      <c r="E556" s="6" t="s">
        <v>56</v>
      </c>
      <c r="F556" s="9">
        <v>93431.686900000001</v>
      </c>
      <c r="G556" s="9">
        <v>105847.16417</v>
      </c>
      <c r="H556" s="9">
        <v>105847.16417</v>
      </c>
      <c r="I556" s="354">
        <f t="shared" si="204"/>
        <v>100</v>
      </c>
    </row>
    <row r="557" spans="1:9" x14ac:dyDescent="0.3">
      <c r="A557" s="8"/>
      <c r="B557" s="8"/>
      <c r="C557" s="7" t="s">
        <v>243</v>
      </c>
      <c r="D557" s="7"/>
      <c r="E557" s="6" t="s">
        <v>242</v>
      </c>
      <c r="F557" s="9">
        <f>F558</f>
        <v>924.1</v>
      </c>
      <c r="G557" s="9">
        <f t="shared" ref="G557:H557" si="227">G558</f>
        <v>924.1</v>
      </c>
      <c r="H557" s="9">
        <f t="shared" si="227"/>
        <v>924.1</v>
      </c>
      <c r="I557" s="354">
        <f t="shared" si="204"/>
        <v>100</v>
      </c>
    </row>
    <row r="558" spans="1:9" ht="27" x14ac:dyDescent="0.3">
      <c r="A558" s="8"/>
      <c r="B558" s="8"/>
      <c r="C558" s="7"/>
      <c r="D558" s="7" t="s">
        <v>57</v>
      </c>
      <c r="E558" s="6" t="s">
        <v>56</v>
      </c>
      <c r="F558" s="9">
        <v>924.1</v>
      </c>
      <c r="G558" s="9">
        <v>924.1</v>
      </c>
      <c r="H558" s="9">
        <v>924.1</v>
      </c>
      <c r="I558" s="354">
        <f t="shared" si="204"/>
        <v>100</v>
      </c>
    </row>
    <row r="559" spans="1:9" ht="27" x14ac:dyDescent="0.3">
      <c r="A559" s="8"/>
      <c r="B559" s="8"/>
      <c r="C559" s="7" t="s">
        <v>751</v>
      </c>
      <c r="D559" s="7"/>
      <c r="E559" s="6" t="s">
        <v>223</v>
      </c>
      <c r="F559" s="9">
        <f>F560</f>
        <v>1050</v>
      </c>
      <c r="G559" s="9">
        <f t="shared" ref="G559:H560" si="228">G560</f>
        <v>1050</v>
      </c>
      <c r="H559" s="9">
        <f t="shared" si="228"/>
        <v>1050</v>
      </c>
      <c r="I559" s="354">
        <f t="shared" si="204"/>
        <v>100</v>
      </c>
    </row>
    <row r="560" spans="1:9" ht="27" x14ac:dyDescent="0.3">
      <c r="A560" s="8"/>
      <c r="B560" s="8"/>
      <c r="C560" s="7"/>
      <c r="D560" s="7" t="s">
        <v>57</v>
      </c>
      <c r="E560" s="6" t="s">
        <v>56</v>
      </c>
      <c r="F560" s="9">
        <f>F561</f>
        <v>1050</v>
      </c>
      <c r="G560" s="9">
        <f t="shared" si="228"/>
        <v>1050</v>
      </c>
      <c r="H560" s="9">
        <f t="shared" si="228"/>
        <v>1050</v>
      </c>
      <c r="I560" s="354">
        <f t="shared" si="204"/>
        <v>100</v>
      </c>
    </row>
    <row r="561" spans="1:9" x14ac:dyDescent="0.3">
      <c r="A561" s="8"/>
      <c r="B561" s="8"/>
      <c r="C561" s="7"/>
      <c r="D561" s="7"/>
      <c r="E561" s="6" t="s">
        <v>222</v>
      </c>
      <c r="F561" s="9">
        <v>1050</v>
      </c>
      <c r="G561" s="9">
        <v>1050</v>
      </c>
      <c r="H561" s="9">
        <v>1050</v>
      </c>
      <c r="I561" s="354">
        <f t="shared" si="204"/>
        <v>100</v>
      </c>
    </row>
    <row r="562" spans="1:9" x14ac:dyDescent="0.3">
      <c r="A562" s="31"/>
      <c r="B562" s="31"/>
      <c r="C562" s="31" t="s">
        <v>85</v>
      </c>
      <c r="D562" s="31"/>
      <c r="E562" s="52" t="s">
        <v>84</v>
      </c>
      <c r="F562" s="29">
        <f t="shared" ref="F562:H564" si="229">F563</f>
        <v>783.58839999999998</v>
      </c>
      <c r="G562" s="29">
        <f t="shared" si="229"/>
        <v>1060.3116</v>
      </c>
      <c r="H562" s="29">
        <f t="shared" si="229"/>
        <v>1060.3116</v>
      </c>
      <c r="I562" s="352">
        <f t="shared" si="204"/>
        <v>100</v>
      </c>
    </row>
    <row r="563" spans="1:9" ht="27" x14ac:dyDescent="0.3">
      <c r="A563" s="190"/>
      <c r="B563" s="190"/>
      <c r="C563" s="190" t="s">
        <v>83</v>
      </c>
      <c r="D563" s="190"/>
      <c r="E563" s="191" t="s">
        <v>82</v>
      </c>
      <c r="F563" s="192">
        <f t="shared" si="229"/>
        <v>783.58839999999998</v>
      </c>
      <c r="G563" s="192">
        <f t="shared" si="229"/>
        <v>1060.3116</v>
      </c>
      <c r="H563" s="192">
        <f t="shared" si="229"/>
        <v>1060.3116</v>
      </c>
      <c r="I563" s="353">
        <f t="shared" si="204"/>
        <v>100</v>
      </c>
    </row>
    <row r="564" spans="1:9" ht="27" x14ac:dyDescent="0.3">
      <c r="A564" s="7"/>
      <c r="B564" s="7"/>
      <c r="C564" s="7" t="s">
        <v>170</v>
      </c>
      <c r="D564" s="7"/>
      <c r="E564" s="6" t="s">
        <v>169</v>
      </c>
      <c r="F564" s="9">
        <f t="shared" si="229"/>
        <v>783.58839999999998</v>
      </c>
      <c r="G564" s="9">
        <f t="shared" si="229"/>
        <v>1060.3116</v>
      </c>
      <c r="H564" s="9">
        <f t="shared" si="229"/>
        <v>1060.3116</v>
      </c>
      <c r="I564" s="354">
        <f t="shared" si="204"/>
        <v>100</v>
      </c>
    </row>
    <row r="565" spans="1:9" ht="27" x14ac:dyDescent="0.3">
      <c r="A565" s="7"/>
      <c r="B565" s="7"/>
      <c r="C565" s="7"/>
      <c r="D565" s="73" t="s">
        <v>57</v>
      </c>
      <c r="E565" s="72" t="s">
        <v>56</v>
      </c>
      <c r="F565" s="9">
        <v>783.58839999999998</v>
      </c>
      <c r="G565" s="9">
        <v>1060.3116</v>
      </c>
      <c r="H565" s="9">
        <v>1060.3116</v>
      </c>
      <c r="I565" s="354">
        <f t="shared" ref="I565:I626" si="230">H565/G565*100</f>
        <v>100</v>
      </c>
    </row>
    <row r="566" spans="1:9" x14ac:dyDescent="0.3">
      <c r="A566" s="37"/>
      <c r="B566" s="23" t="s">
        <v>241</v>
      </c>
      <c r="C566" s="22"/>
      <c r="D566" s="21"/>
      <c r="E566" s="20" t="s">
        <v>240</v>
      </c>
      <c r="F566" s="27">
        <f>F567+F624</f>
        <v>393034.63527000003</v>
      </c>
      <c r="G566" s="27">
        <f>G567+G624</f>
        <v>467619.14817999996</v>
      </c>
      <c r="H566" s="27">
        <f>H567+H624</f>
        <v>466951.93191999994</v>
      </c>
      <c r="I566" s="358">
        <f t="shared" si="230"/>
        <v>99.857316309095367</v>
      </c>
    </row>
    <row r="567" spans="1:9" x14ac:dyDescent="0.3">
      <c r="A567" s="37"/>
      <c r="B567" s="23"/>
      <c r="C567" s="22" t="s">
        <v>36</v>
      </c>
      <c r="D567" s="21"/>
      <c r="E567" s="28" t="s">
        <v>35</v>
      </c>
      <c r="F567" s="27">
        <f>F568</f>
        <v>392684.33527000004</v>
      </c>
      <c r="G567" s="27">
        <f t="shared" ref="G567:H567" si="231">G568</f>
        <v>467268.84817999997</v>
      </c>
      <c r="H567" s="27">
        <f t="shared" si="231"/>
        <v>466601.63191999996</v>
      </c>
      <c r="I567" s="358">
        <f t="shared" si="230"/>
        <v>99.857209342630298</v>
      </c>
    </row>
    <row r="568" spans="1:9" ht="26.4" x14ac:dyDescent="0.3">
      <c r="A568" s="54"/>
      <c r="B568" s="34"/>
      <c r="C568" s="35" t="s">
        <v>87</v>
      </c>
      <c r="D568" s="34"/>
      <c r="E568" s="33" t="s">
        <v>215</v>
      </c>
      <c r="F568" s="32">
        <f>F569+F601+F605</f>
        <v>392684.33527000004</v>
      </c>
      <c r="G568" s="32">
        <f>G569+G601+G605</f>
        <v>467268.84817999997</v>
      </c>
      <c r="H568" s="32">
        <f>H569+H601+H605</f>
        <v>466601.63191999996</v>
      </c>
      <c r="I568" s="351">
        <f t="shared" si="230"/>
        <v>99.857209342630298</v>
      </c>
    </row>
    <row r="569" spans="1:9" x14ac:dyDescent="0.3">
      <c r="A569" s="31"/>
      <c r="B569" s="31"/>
      <c r="C569" s="31" t="s">
        <v>179</v>
      </c>
      <c r="D569" s="31"/>
      <c r="E569" s="52" t="s">
        <v>178</v>
      </c>
      <c r="F569" s="29">
        <f>F570+F579+F594</f>
        <v>294226.90800000005</v>
      </c>
      <c r="G569" s="29">
        <f>G570+G579+G594</f>
        <v>367174.08687999996</v>
      </c>
      <c r="H569" s="29">
        <f>H570+H579+H594</f>
        <v>367133.66088999994</v>
      </c>
      <c r="I569" s="352">
        <f t="shared" si="230"/>
        <v>99.988989966491502</v>
      </c>
    </row>
    <row r="570" spans="1:9" ht="27" x14ac:dyDescent="0.3">
      <c r="A570" s="190"/>
      <c r="B570" s="190"/>
      <c r="C570" s="190" t="s">
        <v>239</v>
      </c>
      <c r="D570" s="190"/>
      <c r="E570" s="191" t="s">
        <v>162</v>
      </c>
      <c r="F570" s="192">
        <f>F571+F573+F575</f>
        <v>262870.5246</v>
      </c>
      <c r="G570" s="192">
        <f t="shared" ref="G570:H570" si="232">G571+G573+G575</f>
        <v>323046.33867999993</v>
      </c>
      <c r="H570" s="192">
        <f t="shared" si="232"/>
        <v>323046.33867999993</v>
      </c>
      <c r="I570" s="353">
        <f t="shared" si="230"/>
        <v>100</v>
      </c>
    </row>
    <row r="571" spans="1:9" ht="27" x14ac:dyDescent="0.3">
      <c r="A571" s="8"/>
      <c r="B571" s="8"/>
      <c r="C571" s="7" t="s">
        <v>238</v>
      </c>
      <c r="D571" s="61"/>
      <c r="E571" s="6" t="s">
        <v>237</v>
      </c>
      <c r="F571" s="9">
        <f>F572</f>
        <v>34749.1</v>
      </c>
      <c r="G571" s="9">
        <f t="shared" ref="G571:H571" si="233">G572</f>
        <v>34749.1</v>
      </c>
      <c r="H571" s="9">
        <f t="shared" si="233"/>
        <v>34749.1</v>
      </c>
      <c r="I571" s="354">
        <f t="shared" si="230"/>
        <v>100</v>
      </c>
    </row>
    <row r="572" spans="1:9" ht="27" x14ac:dyDescent="0.3">
      <c r="A572" s="8"/>
      <c r="B572" s="8"/>
      <c r="C572" s="7"/>
      <c r="D572" s="7" t="s">
        <v>57</v>
      </c>
      <c r="E572" s="6" t="s">
        <v>56</v>
      </c>
      <c r="F572" s="9">
        <v>34749.1</v>
      </c>
      <c r="G572" s="9">
        <v>34749.1</v>
      </c>
      <c r="H572" s="9">
        <v>34749.1</v>
      </c>
      <c r="I572" s="354">
        <f t="shared" si="230"/>
        <v>100</v>
      </c>
    </row>
    <row r="573" spans="1:9" ht="40.200000000000003" x14ac:dyDescent="0.3">
      <c r="A573" s="8"/>
      <c r="B573" s="8"/>
      <c r="C573" s="7" t="s">
        <v>236</v>
      </c>
      <c r="D573" s="7"/>
      <c r="E573" s="6" t="s">
        <v>235</v>
      </c>
      <c r="F573" s="9">
        <f>F574</f>
        <v>218466.32459999999</v>
      </c>
      <c r="G573" s="9">
        <f t="shared" ref="G573:H573" si="234">G574</f>
        <v>278642.13867999997</v>
      </c>
      <c r="H573" s="9">
        <f t="shared" si="234"/>
        <v>278642.13867999997</v>
      </c>
      <c r="I573" s="354">
        <f t="shared" si="230"/>
        <v>100</v>
      </c>
    </row>
    <row r="574" spans="1:9" ht="27" x14ac:dyDescent="0.3">
      <c r="A574" s="8"/>
      <c r="B574" s="8"/>
      <c r="C574" s="7"/>
      <c r="D574" s="7" t="s">
        <v>57</v>
      </c>
      <c r="E574" s="6" t="s">
        <v>56</v>
      </c>
      <c r="F574" s="9">
        <v>218466.32459999999</v>
      </c>
      <c r="G574" s="9">
        <v>278642.13867999997</v>
      </c>
      <c r="H574" s="9">
        <v>278642.13867999997</v>
      </c>
      <c r="I574" s="354">
        <f t="shared" si="230"/>
        <v>100</v>
      </c>
    </row>
    <row r="575" spans="1:9" ht="51" customHeight="1" x14ac:dyDescent="0.3">
      <c r="A575" s="8"/>
      <c r="B575" s="8"/>
      <c r="C575" s="7" t="s">
        <v>234</v>
      </c>
      <c r="D575" s="7"/>
      <c r="E575" s="6" t="s">
        <v>233</v>
      </c>
      <c r="F575" s="79">
        <f>F577+F578</f>
        <v>9655.1</v>
      </c>
      <c r="G575" s="79">
        <f t="shared" ref="G575:H575" si="235">G577+G578</f>
        <v>9655.1</v>
      </c>
      <c r="H575" s="79">
        <f t="shared" si="235"/>
        <v>9655.1</v>
      </c>
      <c r="I575" s="361">
        <f t="shared" si="230"/>
        <v>100</v>
      </c>
    </row>
    <row r="576" spans="1:9" ht="27" x14ac:dyDescent="0.3">
      <c r="A576" s="8"/>
      <c r="B576" s="8"/>
      <c r="C576" s="7"/>
      <c r="D576" s="7" t="s">
        <v>57</v>
      </c>
      <c r="E576" s="6" t="s">
        <v>56</v>
      </c>
      <c r="F576" s="79">
        <f>F577+F578</f>
        <v>9655.1</v>
      </c>
      <c r="G576" s="79">
        <f t="shared" ref="G576:H576" si="236">G577+G578</f>
        <v>9655.1</v>
      </c>
      <c r="H576" s="79">
        <f t="shared" si="236"/>
        <v>9655.1</v>
      </c>
      <c r="I576" s="361">
        <f t="shared" si="230"/>
        <v>100</v>
      </c>
    </row>
    <row r="577" spans="1:9" x14ac:dyDescent="0.3">
      <c r="A577" s="8"/>
      <c r="B577" s="8"/>
      <c r="C577" s="7"/>
      <c r="D577" s="7"/>
      <c r="E577" s="6" t="s">
        <v>222</v>
      </c>
      <c r="F577" s="9">
        <v>8930.9</v>
      </c>
      <c r="G577" s="9">
        <v>8930.9</v>
      </c>
      <c r="H577" s="9">
        <v>8930.9</v>
      </c>
      <c r="I577" s="354">
        <f t="shared" si="230"/>
        <v>100</v>
      </c>
    </row>
    <row r="578" spans="1:9" x14ac:dyDescent="0.3">
      <c r="A578" s="8"/>
      <c r="B578" s="8"/>
      <c r="C578" s="7"/>
      <c r="D578" s="7"/>
      <c r="E578" s="6" t="s">
        <v>77</v>
      </c>
      <c r="F578" s="9">
        <v>724.2</v>
      </c>
      <c r="G578" s="9">
        <v>724.2</v>
      </c>
      <c r="H578" s="9">
        <v>724.2</v>
      </c>
      <c r="I578" s="354">
        <f t="shared" si="230"/>
        <v>100</v>
      </c>
    </row>
    <row r="579" spans="1:9" ht="40.200000000000003" x14ac:dyDescent="0.3">
      <c r="A579" s="190"/>
      <c r="B579" s="190"/>
      <c r="C579" s="190" t="s">
        <v>177</v>
      </c>
      <c r="D579" s="190"/>
      <c r="E579" s="191" t="s">
        <v>176</v>
      </c>
      <c r="F579" s="192">
        <f>F580+F584+F586+F590+F588</f>
        <v>30927.9</v>
      </c>
      <c r="G579" s="192">
        <f>G580+G584+G586+G590+G582+G592</f>
        <v>21690.178</v>
      </c>
      <c r="H579" s="192">
        <f>H580+H584+H586+H590+H582+H592</f>
        <v>21649.752010000004</v>
      </c>
      <c r="I579" s="353">
        <f t="shared" si="230"/>
        <v>99.813620754979524</v>
      </c>
    </row>
    <row r="580" spans="1:9" x14ac:dyDescent="0.3">
      <c r="A580" s="8"/>
      <c r="B580" s="8"/>
      <c r="C580" s="7" t="s">
        <v>232</v>
      </c>
      <c r="D580" s="7"/>
      <c r="E580" s="6" t="s">
        <v>231</v>
      </c>
      <c r="F580" s="9">
        <f>F581</f>
        <v>7208.4</v>
      </c>
      <c r="G580" s="9">
        <f t="shared" ref="G580:H580" si="237">G581</f>
        <v>7208.4</v>
      </c>
      <c r="H580" s="9">
        <f t="shared" si="237"/>
        <v>7208.4</v>
      </c>
      <c r="I580" s="354">
        <f t="shared" si="230"/>
        <v>100</v>
      </c>
    </row>
    <row r="581" spans="1:9" ht="27" x14ac:dyDescent="0.3">
      <c r="A581" s="8"/>
      <c r="B581" s="8"/>
      <c r="C581" s="7"/>
      <c r="D581" s="7" t="s">
        <v>57</v>
      </c>
      <c r="E581" s="6" t="s">
        <v>56</v>
      </c>
      <c r="F581" s="9">
        <v>7208.4</v>
      </c>
      <c r="G581" s="9">
        <v>7208.4</v>
      </c>
      <c r="H581" s="9">
        <v>7208.4</v>
      </c>
      <c r="I581" s="354">
        <f t="shared" si="230"/>
        <v>100</v>
      </c>
    </row>
    <row r="582" spans="1:9" ht="27" x14ac:dyDescent="0.3">
      <c r="A582" s="343"/>
      <c r="B582" s="343"/>
      <c r="C582" s="342" t="s">
        <v>870</v>
      </c>
      <c r="D582" s="342"/>
      <c r="E582" s="391" t="s">
        <v>595</v>
      </c>
      <c r="F582" s="344"/>
      <c r="G582" s="344">
        <v>1860</v>
      </c>
      <c r="H582" s="344">
        <v>1860</v>
      </c>
      <c r="I582" s="354">
        <f t="shared" si="230"/>
        <v>100</v>
      </c>
    </row>
    <row r="583" spans="1:9" ht="27" x14ac:dyDescent="0.3">
      <c r="A583" s="343"/>
      <c r="B583" s="343"/>
      <c r="C583" s="342"/>
      <c r="D583" s="342" t="s">
        <v>57</v>
      </c>
      <c r="E583" s="391" t="s">
        <v>56</v>
      </c>
      <c r="F583" s="344"/>
      <c r="G583" s="344">
        <v>1860</v>
      </c>
      <c r="H583" s="344">
        <v>1860</v>
      </c>
      <c r="I583" s="354">
        <f t="shared" si="230"/>
        <v>100</v>
      </c>
    </row>
    <row r="584" spans="1:9" ht="27" x14ac:dyDescent="0.3">
      <c r="A584" s="8"/>
      <c r="B584" s="8"/>
      <c r="C584" s="7" t="s">
        <v>230</v>
      </c>
      <c r="D584" s="7"/>
      <c r="E584" s="6" t="s">
        <v>229</v>
      </c>
      <c r="F584" s="9">
        <f>F585</f>
        <v>419.8</v>
      </c>
      <c r="G584" s="9">
        <f t="shared" ref="G584:H584" si="238">G585</f>
        <v>419.8</v>
      </c>
      <c r="H584" s="9">
        <f t="shared" si="238"/>
        <v>419.8</v>
      </c>
      <c r="I584" s="354">
        <f t="shared" si="230"/>
        <v>100</v>
      </c>
    </row>
    <row r="585" spans="1:9" ht="27" x14ac:dyDescent="0.3">
      <c r="A585" s="8"/>
      <c r="B585" s="8"/>
      <c r="C585" s="7"/>
      <c r="D585" s="7" t="s">
        <v>57</v>
      </c>
      <c r="E585" s="6" t="s">
        <v>56</v>
      </c>
      <c r="F585" s="9">
        <v>419.8</v>
      </c>
      <c r="G585" s="9">
        <v>419.8</v>
      </c>
      <c r="H585" s="9">
        <v>419.8</v>
      </c>
      <c r="I585" s="354">
        <f t="shared" si="230"/>
        <v>100</v>
      </c>
    </row>
    <row r="586" spans="1:9" ht="27" x14ac:dyDescent="0.3">
      <c r="A586" s="8"/>
      <c r="B586" s="8"/>
      <c r="C586" s="7" t="s">
        <v>228</v>
      </c>
      <c r="D586" s="7"/>
      <c r="E586" s="6" t="s">
        <v>227</v>
      </c>
      <c r="F586" s="9">
        <f>F587</f>
        <v>113.8</v>
      </c>
      <c r="G586" s="9">
        <f t="shared" ref="G586:H586" si="239">G587</f>
        <v>113.8</v>
      </c>
      <c r="H586" s="9">
        <f t="shared" si="239"/>
        <v>113.8</v>
      </c>
      <c r="I586" s="354">
        <f t="shared" si="230"/>
        <v>100</v>
      </c>
    </row>
    <row r="587" spans="1:9" ht="27" x14ac:dyDescent="0.3">
      <c r="A587" s="8"/>
      <c r="B587" s="8"/>
      <c r="C587" s="7"/>
      <c r="D587" s="7" t="s">
        <v>57</v>
      </c>
      <c r="E587" s="6" t="s">
        <v>56</v>
      </c>
      <c r="F587" s="9">
        <v>113.8</v>
      </c>
      <c r="G587" s="9">
        <v>113.8</v>
      </c>
      <c r="H587" s="9">
        <v>113.8</v>
      </c>
      <c r="I587" s="354">
        <f t="shared" si="230"/>
        <v>100</v>
      </c>
    </row>
    <row r="588" spans="1:9" ht="27" x14ac:dyDescent="0.3">
      <c r="A588" s="343"/>
      <c r="B588" s="343"/>
      <c r="C588" s="342" t="s">
        <v>745</v>
      </c>
      <c r="D588" s="342"/>
      <c r="E588" s="391" t="s">
        <v>226</v>
      </c>
      <c r="F588" s="344">
        <v>11589.1</v>
      </c>
      <c r="G588" s="344"/>
      <c r="H588" s="344"/>
      <c r="I588" s="357"/>
    </row>
    <row r="589" spans="1:9" ht="27" x14ac:dyDescent="0.3">
      <c r="A589" s="343"/>
      <c r="B589" s="343"/>
      <c r="C589" s="342"/>
      <c r="D589" s="342" t="s">
        <v>57</v>
      </c>
      <c r="E589" s="391" t="s">
        <v>56</v>
      </c>
      <c r="F589" s="344">
        <v>11589.1</v>
      </c>
      <c r="G589" s="344"/>
      <c r="H589" s="344"/>
      <c r="I589" s="357"/>
    </row>
    <row r="590" spans="1:9" ht="27" x14ac:dyDescent="0.3">
      <c r="A590" s="8"/>
      <c r="B590" s="8"/>
      <c r="C590" s="7" t="s">
        <v>225</v>
      </c>
      <c r="D590" s="7"/>
      <c r="E590" s="6" t="s">
        <v>224</v>
      </c>
      <c r="F590" s="9">
        <f>F591</f>
        <v>11596.8</v>
      </c>
      <c r="G590" s="9">
        <f t="shared" ref="G590:H590" si="240">G591</f>
        <v>11485.477999999999</v>
      </c>
      <c r="H590" s="9">
        <f t="shared" si="240"/>
        <v>11485.477010000001</v>
      </c>
      <c r="I590" s="354">
        <f t="shared" si="230"/>
        <v>99.999991380419701</v>
      </c>
    </row>
    <row r="591" spans="1:9" ht="27" x14ac:dyDescent="0.3">
      <c r="A591" s="8"/>
      <c r="B591" s="8"/>
      <c r="C591" s="7"/>
      <c r="D591" s="7" t="s">
        <v>57</v>
      </c>
      <c r="E591" s="6" t="s">
        <v>56</v>
      </c>
      <c r="F591" s="9">
        <v>11596.8</v>
      </c>
      <c r="G591" s="9">
        <v>11485.477999999999</v>
      </c>
      <c r="H591" s="9">
        <v>11485.477010000001</v>
      </c>
      <c r="I591" s="354">
        <f t="shared" si="230"/>
        <v>99.999991380419701</v>
      </c>
    </row>
    <row r="592" spans="1:9" ht="40.200000000000003" x14ac:dyDescent="0.3">
      <c r="A592" s="343"/>
      <c r="B592" s="343"/>
      <c r="C592" s="342" t="s">
        <v>868</v>
      </c>
      <c r="D592" s="342"/>
      <c r="E592" s="391" t="s">
        <v>869</v>
      </c>
      <c r="F592" s="344"/>
      <c r="G592" s="344">
        <v>602.70000000000005</v>
      </c>
      <c r="H592" s="344">
        <v>562.27499999999998</v>
      </c>
      <c r="I592" s="354">
        <f t="shared" si="230"/>
        <v>93.292682926829258</v>
      </c>
    </row>
    <row r="593" spans="1:9" ht="27" x14ac:dyDescent="0.3">
      <c r="A593" s="343"/>
      <c r="B593" s="343"/>
      <c r="C593" s="342"/>
      <c r="D593" s="342" t="s">
        <v>57</v>
      </c>
      <c r="E593" s="391" t="s">
        <v>56</v>
      </c>
      <c r="F593" s="344"/>
      <c r="G593" s="344">
        <v>602.70000000000005</v>
      </c>
      <c r="H593" s="344">
        <v>562.27499999999998</v>
      </c>
      <c r="I593" s="354">
        <f t="shared" si="230"/>
        <v>93.292682926829258</v>
      </c>
    </row>
    <row r="594" spans="1:9" s="78" customFormat="1" ht="27" customHeight="1" x14ac:dyDescent="0.3">
      <c r="A594" s="198"/>
      <c r="B594" s="198"/>
      <c r="C594" s="299" t="s">
        <v>813</v>
      </c>
      <c r="D594" s="300"/>
      <c r="E594" s="301" t="s">
        <v>814</v>
      </c>
      <c r="F594" s="192">
        <f>F597</f>
        <v>428.48340000000002</v>
      </c>
      <c r="G594" s="192">
        <f>G597+G595+G599</f>
        <v>22437.570199999998</v>
      </c>
      <c r="H594" s="192">
        <f>H597+H595+H599</f>
        <v>22437.570199999998</v>
      </c>
      <c r="I594" s="353">
        <f t="shared" si="230"/>
        <v>100</v>
      </c>
    </row>
    <row r="595" spans="1:9" s="437" customFormat="1" ht="36" customHeight="1" x14ac:dyDescent="0.3">
      <c r="A595" s="435"/>
      <c r="B595" s="435"/>
      <c r="C595" s="433" t="s">
        <v>871</v>
      </c>
      <c r="D595" s="433"/>
      <c r="E595" s="391" t="s">
        <v>872</v>
      </c>
      <c r="F595" s="421"/>
      <c r="G595" s="344">
        <v>267</v>
      </c>
      <c r="H595" s="344">
        <v>267</v>
      </c>
      <c r="I595" s="354">
        <f t="shared" si="230"/>
        <v>100</v>
      </c>
    </row>
    <row r="596" spans="1:9" s="437" customFormat="1" ht="27" customHeight="1" x14ac:dyDescent="0.3">
      <c r="A596" s="435"/>
      <c r="B596" s="435"/>
      <c r="C596" s="433"/>
      <c r="D596" s="433" t="s">
        <v>57</v>
      </c>
      <c r="E596" s="434" t="s">
        <v>56</v>
      </c>
      <c r="F596" s="421"/>
      <c r="G596" s="344">
        <v>267</v>
      </c>
      <c r="H596" s="344">
        <v>267</v>
      </c>
      <c r="I596" s="354">
        <f t="shared" si="230"/>
        <v>100</v>
      </c>
    </row>
    <row r="597" spans="1:9" ht="40.200000000000003" x14ac:dyDescent="0.3">
      <c r="A597" s="8"/>
      <c r="B597" s="8"/>
      <c r="C597" s="302" t="s">
        <v>815</v>
      </c>
      <c r="D597" s="302"/>
      <c r="E597" s="281" t="s">
        <v>221</v>
      </c>
      <c r="F597" s="9">
        <f t="shared" ref="F597:H597" si="241">F598</f>
        <v>428.48340000000002</v>
      </c>
      <c r="G597" s="9">
        <f t="shared" si="241"/>
        <v>429.77019999999999</v>
      </c>
      <c r="H597" s="9">
        <f t="shared" si="241"/>
        <v>429.77019999999999</v>
      </c>
      <c r="I597" s="354">
        <f t="shared" si="230"/>
        <v>100</v>
      </c>
    </row>
    <row r="598" spans="1:9" ht="27" x14ac:dyDescent="0.3">
      <c r="A598" s="8"/>
      <c r="B598" s="8"/>
      <c r="C598" s="77"/>
      <c r="D598" s="77" t="s">
        <v>57</v>
      </c>
      <c r="E598" s="76" t="s">
        <v>56</v>
      </c>
      <c r="F598" s="9">
        <v>428.48340000000002</v>
      </c>
      <c r="G598" s="9">
        <v>429.77019999999999</v>
      </c>
      <c r="H598" s="9">
        <v>429.77019999999999</v>
      </c>
      <c r="I598" s="354">
        <f t="shared" si="230"/>
        <v>100</v>
      </c>
    </row>
    <row r="599" spans="1:9" ht="27" x14ac:dyDescent="0.3">
      <c r="A599" s="343"/>
      <c r="B599" s="343"/>
      <c r="C599" s="433" t="s">
        <v>873</v>
      </c>
      <c r="D599" s="433"/>
      <c r="E599" s="391" t="s">
        <v>226</v>
      </c>
      <c r="F599" s="344"/>
      <c r="G599" s="344">
        <v>21740.799999999999</v>
      </c>
      <c r="H599" s="344">
        <v>21740.799999999999</v>
      </c>
      <c r="I599" s="354">
        <f t="shared" si="230"/>
        <v>100</v>
      </c>
    </row>
    <row r="600" spans="1:9" ht="27" x14ac:dyDescent="0.3">
      <c r="A600" s="343"/>
      <c r="B600" s="343"/>
      <c r="C600" s="433"/>
      <c r="D600" s="433" t="s">
        <v>57</v>
      </c>
      <c r="E600" s="434" t="s">
        <v>56</v>
      </c>
      <c r="F600" s="344"/>
      <c r="G600" s="344">
        <v>21740.799999999999</v>
      </c>
      <c r="H600" s="344">
        <v>21740.799999999999</v>
      </c>
      <c r="I600" s="354">
        <f t="shared" si="230"/>
        <v>100</v>
      </c>
    </row>
    <row r="601" spans="1:9" x14ac:dyDescent="0.3">
      <c r="A601" s="31"/>
      <c r="B601" s="31"/>
      <c r="C601" s="31" t="s">
        <v>85</v>
      </c>
      <c r="D601" s="31"/>
      <c r="E601" s="52" t="s">
        <v>84</v>
      </c>
      <c r="F601" s="29">
        <f t="shared" ref="F601:H603" si="242">F602</f>
        <v>5104.0924000000005</v>
      </c>
      <c r="G601" s="29">
        <f t="shared" si="242"/>
        <v>5066.7839999999997</v>
      </c>
      <c r="H601" s="29">
        <f t="shared" si="242"/>
        <v>4440.1264499999997</v>
      </c>
      <c r="I601" s="352">
        <f t="shared" si="230"/>
        <v>87.632045297372059</v>
      </c>
    </row>
    <row r="602" spans="1:9" ht="27" x14ac:dyDescent="0.3">
      <c r="A602" s="190"/>
      <c r="B602" s="190"/>
      <c r="C602" s="190" t="s">
        <v>83</v>
      </c>
      <c r="D602" s="190"/>
      <c r="E602" s="191" t="s">
        <v>82</v>
      </c>
      <c r="F602" s="192">
        <f t="shared" si="242"/>
        <v>5104.0924000000005</v>
      </c>
      <c r="G602" s="192">
        <f t="shared" si="242"/>
        <v>5066.7839999999997</v>
      </c>
      <c r="H602" s="192">
        <f t="shared" si="242"/>
        <v>4440.1264499999997</v>
      </c>
      <c r="I602" s="353">
        <f t="shared" si="230"/>
        <v>87.632045297372059</v>
      </c>
    </row>
    <row r="603" spans="1:9" ht="27" x14ac:dyDescent="0.3">
      <c r="A603" s="8"/>
      <c r="B603" s="8"/>
      <c r="C603" s="7" t="s">
        <v>170</v>
      </c>
      <c r="D603" s="7"/>
      <c r="E603" s="6" t="s">
        <v>169</v>
      </c>
      <c r="F603" s="9">
        <f t="shared" si="242"/>
        <v>5104.0924000000005</v>
      </c>
      <c r="G603" s="9">
        <f t="shared" si="242"/>
        <v>5066.7839999999997</v>
      </c>
      <c r="H603" s="9">
        <f t="shared" si="242"/>
        <v>4440.1264499999997</v>
      </c>
      <c r="I603" s="354">
        <f t="shared" si="230"/>
        <v>87.632045297372059</v>
      </c>
    </row>
    <row r="604" spans="1:9" ht="27" x14ac:dyDescent="0.3">
      <c r="A604" s="8"/>
      <c r="B604" s="8"/>
      <c r="C604" s="7"/>
      <c r="D604" s="73" t="s">
        <v>57</v>
      </c>
      <c r="E604" s="72" t="s">
        <v>56</v>
      </c>
      <c r="F604" s="9">
        <v>5104.0924000000005</v>
      </c>
      <c r="G604" s="9">
        <v>5066.7839999999997</v>
      </c>
      <c r="H604" s="9">
        <v>4440.1264499999997</v>
      </c>
      <c r="I604" s="354">
        <f t="shared" si="230"/>
        <v>87.632045297372059</v>
      </c>
    </row>
    <row r="605" spans="1:9" x14ac:dyDescent="0.3">
      <c r="A605" s="31"/>
      <c r="B605" s="31"/>
      <c r="C605" s="31" t="s">
        <v>220</v>
      </c>
      <c r="D605" s="31"/>
      <c r="E605" s="52" t="s">
        <v>219</v>
      </c>
      <c r="F605" s="29">
        <f>F606+F613+F618</f>
        <v>93353.334869999991</v>
      </c>
      <c r="G605" s="29">
        <f>G606+G613+G618</f>
        <v>95027.977299999999</v>
      </c>
      <c r="H605" s="29">
        <f>H606+H613+H618</f>
        <v>95027.844580000004</v>
      </c>
      <c r="I605" s="352">
        <f t="shared" si="230"/>
        <v>99.999860335867638</v>
      </c>
    </row>
    <row r="606" spans="1:9" ht="27" x14ac:dyDescent="0.3">
      <c r="A606" s="197"/>
      <c r="B606" s="197"/>
      <c r="C606" s="197" t="s">
        <v>218</v>
      </c>
      <c r="D606" s="197"/>
      <c r="E606" s="191" t="s">
        <v>217</v>
      </c>
      <c r="F606" s="192">
        <f>F607+F609+F611</f>
        <v>6898.5999999999995</v>
      </c>
      <c r="G606" s="192">
        <f t="shared" ref="G606:H606" si="243">G607+G609+G611</f>
        <v>6898.5999999999995</v>
      </c>
      <c r="H606" s="192">
        <f t="shared" si="243"/>
        <v>6898.4672799999998</v>
      </c>
      <c r="I606" s="353">
        <f t="shared" si="230"/>
        <v>99.998076131388984</v>
      </c>
    </row>
    <row r="607" spans="1:9" ht="27" x14ac:dyDescent="0.3">
      <c r="A607" s="316"/>
      <c r="B607" s="316"/>
      <c r="C607" s="322" t="s">
        <v>823</v>
      </c>
      <c r="D607" s="312"/>
      <c r="E607" s="313" t="s">
        <v>824</v>
      </c>
      <c r="F607" s="317">
        <f>F608</f>
        <v>1389.5</v>
      </c>
      <c r="G607" s="317">
        <f t="shared" ref="G607:H607" si="244">G608</f>
        <v>1389.5</v>
      </c>
      <c r="H607" s="317">
        <f t="shared" si="244"/>
        <v>1389.43956</v>
      </c>
      <c r="I607" s="387">
        <f t="shared" si="230"/>
        <v>99.995650233897081</v>
      </c>
    </row>
    <row r="608" spans="1:9" ht="27" x14ac:dyDescent="0.3">
      <c r="A608" s="316"/>
      <c r="B608" s="316"/>
      <c r="C608" s="323"/>
      <c r="D608" s="312" t="s">
        <v>57</v>
      </c>
      <c r="E608" s="313" t="s">
        <v>56</v>
      </c>
      <c r="F608" s="317">
        <v>1389.5</v>
      </c>
      <c r="G608" s="317">
        <v>1389.5</v>
      </c>
      <c r="H608" s="317">
        <v>1389.43956</v>
      </c>
      <c r="I608" s="387">
        <f t="shared" si="230"/>
        <v>99.995650233897081</v>
      </c>
    </row>
    <row r="609" spans="1:9" ht="52.8" x14ac:dyDescent="0.3">
      <c r="A609" s="316"/>
      <c r="B609" s="316"/>
      <c r="C609" s="324" t="s">
        <v>825</v>
      </c>
      <c r="D609" s="314"/>
      <c r="E609" s="315" t="s">
        <v>826</v>
      </c>
      <c r="F609" s="317">
        <f t="shared" ref="F609:H609" si="245">F610</f>
        <v>4909.2</v>
      </c>
      <c r="G609" s="317">
        <f t="shared" si="245"/>
        <v>4909.2</v>
      </c>
      <c r="H609" s="317">
        <f t="shared" si="245"/>
        <v>4909.2</v>
      </c>
      <c r="I609" s="387">
        <f t="shared" si="230"/>
        <v>100</v>
      </c>
    </row>
    <row r="610" spans="1:9" ht="27" x14ac:dyDescent="0.3">
      <c r="A610" s="316"/>
      <c r="B610" s="316"/>
      <c r="C610" s="312"/>
      <c r="D610" s="312" t="s">
        <v>57</v>
      </c>
      <c r="E610" s="313" t="s">
        <v>56</v>
      </c>
      <c r="F610" s="317">
        <v>4909.2</v>
      </c>
      <c r="G610" s="317">
        <v>4909.2</v>
      </c>
      <c r="H610" s="317">
        <v>4909.2</v>
      </c>
      <c r="I610" s="387">
        <f t="shared" si="230"/>
        <v>100</v>
      </c>
    </row>
    <row r="611" spans="1:9" x14ac:dyDescent="0.3">
      <c r="A611" s="316"/>
      <c r="B611" s="316"/>
      <c r="C611" s="7" t="s">
        <v>835</v>
      </c>
      <c r="D611" s="278"/>
      <c r="E611" s="279" t="s">
        <v>834</v>
      </c>
      <c r="F611" s="317">
        <f t="shared" ref="F611:H611" si="246">F612</f>
        <v>599.9</v>
      </c>
      <c r="G611" s="317">
        <f t="shared" si="246"/>
        <v>599.9</v>
      </c>
      <c r="H611" s="317">
        <f t="shared" si="246"/>
        <v>599.82772</v>
      </c>
      <c r="I611" s="387">
        <f t="shared" si="230"/>
        <v>99.987951325220877</v>
      </c>
    </row>
    <row r="612" spans="1:9" ht="27" x14ac:dyDescent="0.3">
      <c r="A612" s="316"/>
      <c r="B612" s="316"/>
      <c r="C612" s="278"/>
      <c r="D612" s="278" t="s">
        <v>57</v>
      </c>
      <c r="E612" s="281" t="s">
        <v>56</v>
      </c>
      <c r="F612" s="317">
        <v>599.9</v>
      </c>
      <c r="G612" s="317">
        <v>599.9</v>
      </c>
      <c r="H612" s="317">
        <v>599.82772</v>
      </c>
      <c r="I612" s="387">
        <f t="shared" si="230"/>
        <v>99.987951325220877</v>
      </c>
    </row>
    <row r="613" spans="1:9" x14ac:dyDescent="0.3">
      <c r="A613" s="190"/>
      <c r="B613" s="190"/>
      <c r="C613" s="285" t="s">
        <v>807</v>
      </c>
      <c r="D613" s="294"/>
      <c r="E613" s="295" t="s">
        <v>786</v>
      </c>
      <c r="F613" s="192">
        <f t="shared" ref="F613:H614" si="247">F614</f>
        <v>18400</v>
      </c>
      <c r="G613" s="192">
        <f t="shared" si="247"/>
        <v>18400</v>
      </c>
      <c r="H613" s="192">
        <f t="shared" si="247"/>
        <v>18400</v>
      </c>
      <c r="I613" s="353">
        <f t="shared" si="230"/>
        <v>100</v>
      </c>
    </row>
    <row r="614" spans="1:9" ht="26.4" x14ac:dyDescent="0.3">
      <c r="A614" s="292"/>
      <c r="B614" s="292"/>
      <c r="C614" s="278" t="s">
        <v>808</v>
      </c>
      <c r="D614" s="278"/>
      <c r="E614" s="296" t="s">
        <v>216</v>
      </c>
      <c r="F614" s="5">
        <f t="shared" si="247"/>
        <v>18400</v>
      </c>
      <c r="G614" s="5">
        <f t="shared" si="247"/>
        <v>18400</v>
      </c>
      <c r="H614" s="5">
        <f t="shared" si="247"/>
        <v>18400</v>
      </c>
      <c r="I614" s="359">
        <f t="shared" si="230"/>
        <v>100</v>
      </c>
    </row>
    <row r="615" spans="1:9" ht="27" x14ac:dyDescent="0.3">
      <c r="A615" s="292"/>
      <c r="B615" s="292"/>
      <c r="C615" s="278"/>
      <c r="D615" s="278" t="s">
        <v>57</v>
      </c>
      <c r="E615" s="281" t="s">
        <v>56</v>
      </c>
      <c r="F615" s="5">
        <f>F616+F617</f>
        <v>18400</v>
      </c>
      <c r="G615" s="5">
        <f t="shared" ref="G615:H615" si="248">G616+G617</f>
        <v>18400</v>
      </c>
      <c r="H615" s="5">
        <f t="shared" si="248"/>
        <v>18400</v>
      </c>
      <c r="I615" s="359">
        <f t="shared" si="230"/>
        <v>100</v>
      </c>
    </row>
    <row r="616" spans="1:9" x14ac:dyDescent="0.3">
      <c r="A616" s="292"/>
      <c r="B616" s="292"/>
      <c r="C616" s="278"/>
      <c r="D616" s="278"/>
      <c r="E616" s="281" t="s">
        <v>157</v>
      </c>
      <c r="F616" s="5">
        <v>16560</v>
      </c>
      <c r="G616" s="5">
        <v>16560</v>
      </c>
      <c r="H616" s="5">
        <v>16560</v>
      </c>
      <c r="I616" s="359">
        <f t="shared" si="230"/>
        <v>100</v>
      </c>
    </row>
    <row r="617" spans="1:9" x14ac:dyDescent="0.3">
      <c r="A617" s="292"/>
      <c r="B617" s="292"/>
      <c r="C617" s="278"/>
      <c r="D617" s="278"/>
      <c r="E617" s="281" t="s">
        <v>156</v>
      </c>
      <c r="F617" s="5">
        <v>1840</v>
      </c>
      <c r="G617" s="5">
        <v>1840</v>
      </c>
      <c r="H617" s="5">
        <v>1840</v>
      </c>
      <c r="I617" s="359">
        <f t="shared" si="230"/>
        <v>100</v>
      </c>
    </row>
    <row r="618" spans="1:9" x14ac:dyDescent="0.3">
      <c r="A618" s="190"/>
      <c r="B618" s="190"/>
      <c r="C618" s="285" t="s">
        <v>809</v>
      </c>
      <c r="D618" s="294"/>
      <c r="E618" s="289" t="s">
        <v>810</v>
      </c>
      <c r="F618" s="192">
        <f>F619</f>
        <v>68054.73487</v>
      </c>
      <c r="G618" s="192">
        <f t="shared" ref="G618:H618" si="249">G619</f>
        <v>69729.377300000007</v>
      </c>
      <c r="H618" s="192">
        <f t="shared" si="249"/>
        <v>69729.377300000007</v>
      </c>
      <c r="I618" s="353">
        <f t="shared" si="230"/>
        <v>100</v>
      </c>
    </row>
    <row r="619" spans="1:9" x14ac:dyDescent="0.3">
      <c r="A619" s="292"/>
      <c r="B619" s="292"/>
      <c r="C619" s="297" t="s">
        <v>811</v>
      </c>
      <c r="D619" s="293"/>
      <c r="E619" s="298" t="s">
        <v>812</v>
      </c>
      <c r="F619" s="5">
        <f t="shared" ref="F619:H619" si="250">F620</f>
        <v>68054.73487</v>
      </c>
      <c r="G619" s="5">
        <f t="shared" si="250"/>
        <v>69729.377300000007</v>
      </c>
      <c r="H619" s="5">
        <f t="shared" si="250"/>
        <v>69729.377300000007</v>
      </c>
      <c r="I619" s="359">
        <f t="shared" si="230"/>
        <v>100</v>
      </c>
    </row>
    <row r="620" spans="1:9" ht="27" x14ac:dyDescent="0.3">
      <c r="A620" s="292"/>
      <c r="B620" s="292"/>
      <c r="C620" s="293"/>
      <c r="D620" s="278" t="s">
        <v>57</v>
      </c>
      <c r="E620" s="281" t="s">
        <v>56</v>
      </c>
      <c r="F620" s="5">
        <f t="shared" ref="F620:H620" si="251">F622+F623+F621</f>
        <v>68054.73487</v>
      </c>
      <c r="G620" s="5">
        <f t="shared" si="251"/>
        <v>69729.377300000007</v>
      </c>
      <c r="H620" s="5">
        <f t="shared" si="251"/>
        <v>69729.377300000007</v>
      </c>
      <c r="I620" s="359">
        <f t="shared" si="230"/>
        <v>100</v>
      </c>
    </row>
    <row r="621" spans="1:9" x14ac:dyDescent="0.3">
      <c r="A621" s="292"/>
      <c r="B621" s="292"/>
      <c r="C621" s="293"/>
      <c r="D621" s="278"/>
      <c r="E621" s="281" t="s">
        <v>697</v>
      </c>
      <c r="F621" s="5">
        <v>48355.3</v>
      </c>
      <c r="G621" s="5">
        <v>48355.3</v>
      </c>
      <c r="H621" s="5">
        <v>48355.3</v>
      </c>
      <c r="I621" s="359">
        <f t="shared" si="230"/>
        <v>100</v>
      </c>
    </row>
    <row r="622" spans="1:9" x14ac:dyDescent="0.3">
      <c r="A622" s="292"/>
      <c r="B622" s="292"/>
      <c r="C622" s="293"/>
      <c r="D622" s="278"/>
      <c r="E622" s="281" t="s">
        <v>222</v>
      </c>
      <c r="F622" s="5">
        <v>14443.79091</v>
      </c>
      <c r="G622" s="5">
        <v>16118.43334</v>
      </c>
      <c r="H622" s="5">
        <v>16118.43334</v>
      </c>
      <c r="I622" s="359">
        <f t="shared" si="230"/>
        <v>100</v>
      </c>
    </row>
    <row r="623" spans="1:9" x14ac:dyDescent="0.3">
      <c r="A623" s="292"/>
      <c r="B623" s="292"/>
      <c r="C623" s="293"/>
      <c r="D623" s="278"/>
      <c r="E623" s="281" t="s">
        <v>77</v>
      </c>
      <c r="F623" s="5">
        <v>5255.6439600000003</v>
      </c>
      <c r="G623" s="5">
        <v>5255.6439600000003</v>
      </c>
      <c r="H623" s="5">
        <v>5255.6439600000003</v>
      </c>
      <c r="I623" s="359">
        <f t="shared" si="230"/>
        <v>100</v>
      </c>
    </row>
    <row r="624" spans="1:9" x14ac:dyDescent="0.3">
      <c r="A624" s="18"/>
      <c r="B624" s="18"/>
      <c r="C624" s="18" t="s">
        <v>18</v>
      </c>
      <c r="D624" s="18"/>
      <c r="E624" s="17" t="s">
        <v>17</v>
      </c>
      <c r="F624" s="16">
        <f t="shared" ref="F624:H626" si="252">F625</f>
        <v>350.3</v>
      </c>
      <c r="G624" s="16">
        <f t="shared" si="252"/>
        <v>350.3</v>
      </c>
      <c r="H624" s="16">
        <f t="shared" si="252"/>
        <v>350.3</v>
      </c>
      <c r="I624" s="366">
        <f t="shared" si="230"/>
        <v>100</v>
      </c>
    </row>
    <row r="625" spans="1:9" ht="27" x14ac:dyDescent="0.3">
      <c r="A625" s="15"/>
      <c r="B625" s="15"/>
      <c r="C625" s="15" t="s">
        <v>16</v>
      </c>
      <c r="D625" s="15"/>
      <c r="E625" s="14" t="s">
        <v>15</v>
      </c>
      <c r="F625" s="13">
        <f t="shared" si="252"/>
        <v>350.3</v>
      </c>
      <c r="G625" s="13">
        <f t="shared" si="252"/>
        <v>350.3</v>
      </c>
      <c r="H625" s="13">
        <f t="shared" si="252"/>
        <v>350.3</v>
      </c>
      <c r="I625" s="367">
        <f t="shared" si="230"/>
        <v>100</v>
      </c>
    </row>
    <row r="626" spans="1:9" x14ac:dyDescent="0.3">
      <c r="A626" s="8"/>
      <c r="B626" s="8"/>
      <c r="C626" s="55" t="s">
        <v>507</v>
      </c>
      <c r="D626" s="55"/>
      <c r="E626" s="10" t="s">
        <v>506</v>
      </c>
      <c r="F626" s="9">
        <f>F627</f>
        <v>350.3</v>
      </c>
      <c r="G626" s="9">
        <f t="shared" si="252"/>
        <v>350.3</v>
      </c>
      <c r="H626" s="9">
        <f t="shared" si="252"/>
        <v>350.3</v>
      </c>
      <c r="I626" s="354">
        <f t="shared" si="230"/>
        <v>100</v>
      </c>
    </row>
    <row r="627" spans="1:9" ht="27" x14ac:dyDescent="0.3">
      <c r="A627" s="8"/>
      <c r="B627" s="8"/>
      <c r="C627" s="55"/>
      <c r="D627" s="7" t="s">
        <v>57</v>
      </c>
      <c r="E627" s="6" t="s">
        <v>56</v>
      </c>
      <c r="F627" s="9">
        <f>0+350.3</f>
        <v>350.3</v>
      </c>
      <c r="G627" s="9">
        <f t="shared" ref="G627:H627" si="253">0+350.3</f>
        <v>350.3</v>
      </c>
      <c r="H627" s="9">
        <f t="shared" si="253"/>
        <v>350.3</v>
      </c>
      <c r="I627" s="354">
        <f t="shared" ref="I627:I696" si="254">H627/G627*100</f>
        <v>100</v>
      </c>
    </row>
    <row r="628" spans="1:9" x14ac:dyDescent="0.3">
      <c r="A628" s="37"/>
      <c r="B628" s="23" t="s">
        <v>152</v>
      </c>
      <c r="C628" s="22"/>
      <c r="D628" s="23"/>
      <c r="E628" s="28" t="s">
        <v>151</v>
      </c>
      <c r="F628" s="27">
        <f t="shared" ref="F628:H631" si="255">F629</f>
        <v>35856.199999999997</v>
      </c>
      <c r="G628" s="27">
        <f t="shared" si="255"/>
        <v>35856.199999999997</v>
      </c>
      <c r="H628" s="27">
        <f t="shared" si="255"/>
        <v>35856.199999999997</v>
      </c>
      <c r="I628" s="358">
        <f t="shared" si="254"/>
        <v>100</v>
      </c>
    </row>
    <row r="629" spans="1:9" x14ac:dyDescent="0.3">
      <c r="A629" s="37"/>
      <c r="B629" s="23"/>
      <c r="C629" s="22" t="s">
        <v>36</v>
      </c>
      <c r="D629" s="21"/>
      <c r="E629" s="28" t="s">
        <v>35</v>
      </c>
      <c r="F629" s="27">
        <f t="shared" si="255"/>
        <v>35856.199999999997</v>
      </c>
      <c r="G629" s="27">
        <f t="shared" si="255"/>
        <v>35856.199999999997</v>
      </c>
      <c r="H629" s="27">
        <f t="shared" si="255"/>
        <v>35856.199999999997</v>
      </c>
      <c r="I629" s="358">
        <f t="shared" si="254"/>
        <v>100</v>
      </c>
    </row>
    <row r="630" spans="1:9" ht="26.4" x14ac:dyDescent="0.3">
      <c r="A630" s="54"/>
      <c r="B630" s="34"/>
      <c r="C630" s="35" t="s">
        <v>87</v>
      </c>
      <c r="D630" s="34"/>
      <c r="E630" s="33" t="s">
        <v>215</v>
      </c>
      <c r="F630" s="32">
        <f t="shared" si="255"/>
        <v>35856.199999999997</v>
      </c>
      <c r="G630" s="32">
        <f t="shared" si="255"/>
        <v>35856.199999999997</v>
      </c>
      <c r="H630" s="32">
        <f t="shared" si="255"/>
        <v>35856.199999999997</v>
      </c>
      <c r="I630" s="351">
        <f t="shared" si="254"/>
        <v>100</v>
      </c>
    </row>
    <row r="631" spans="1:9" x14ac:dyDescent="0.3">
      <c r="A631" s="31"/>
      <c r="B631" s="31"/>
      <c r="C631" s="31" t="s">
        <v>210</v>
      </c>
      <c r="D631" s="31"/>
      <c r="E631" s="52" t="s">
        <v>209</v>
      </c>
      <c r="F631" s="29">
        <f t="shared" si="255"/>
        <v>35856.199999999997</v>
      </c>
      <c r="G631" s="29">
        <f t="shared" si="255"/>
        <v>35856.199999999997</v>
      </c>
      <c r="H631" s="29">
        <f t="shared" si="255"/>
        <v>35856.199999999997</v>
      </c>
      <c r="I631" s="352">
        <f t="shared" si="254"/>
        <v>100</v>
      </c>
    </row>
    <row r="632" spans="1:9" ht="27" x14ac:dyDescent="0.3">
      <c r="A632" s="190"/>
      <c r="B632" s="190"/>
      <c r="C632" s="190" t="s">
        <v>208</v>
      </c>
      <c r="D632" s="197"/>
      <c r="E632" s="191" t="s">
        <v>207</v>
      </c>
      <c r="F632" s="192">
        <f>F633+F635</f>
        <v>35856.199999999997</v>
      </c>
      <c r="G632" s="192">
        <f t="shared" ref="G632:H632" si="256">G633+G635</f>
        <v>35856.199999999997</v>
      </c>
      <c r="H632" s="192">
        <f t="shared" si="256"/>
        <v>35856.199999999997</v>
      </c>
      <c r="I632" s="353">
        <f t="shared" si="254"/>
        <v>100</v>
      </c>
    </row>
    <row r="633" spans="1:9" ht="30" customHeight="1" x14ac:dyDescent="0.3">
      <c r="A633" s="8"/>
      <c r="B633" s="8"/>
      <c r="C633" s="7" t="s">
        <v>214</v>
      </c>
      <c r="D633" s="61"/>
      <c r="E633" s="6" t="s">
        <v>213</v>
      </c>
      <c r="F633" s="9">
        <f>F634</f>
        <v>22530.799999999999</v>
      </c>
      <c r="G633" s="9">
        <f t="shared" ref="G633:H633" si="257">G634</f>
        <v>22530.799999999999</v>
      </c>
      <c r="H633" s="9">
        <f t="shared" si="257"/>
        <v>22530.799999999999</v>
      </c>
      <c r="I633" s="354">
        <f t="shared" si="254"/>
        <v>100</v>
      </c>
    </row>
    <row r="634" spans="1:9" ht="27" x14ac:dyDescent="0.3">
      <c r="A634" s="8"/>
      <c r="B634" s="8"/>
      <c r="C634" s="7"/>
      <c r="D634" s="7" t="s">
        <v>57</v>
      </c>
      <c r="E634" s="6" t="s">
        <v>56</v>
      </c>
      <c r="F634" s="9">
        <v>22530.799999999999</v>
      </c>
      <c r="G634" s="9">
        <v>22530.799999999999</v>
      </c>
      <c r="H634" s="9">
        <v>22530.799999999999</v>
      </c>
      <c r="I634" s="354">
        <f t="shared" si="254"/>
        <v>100</v>
      </c>
    </row>
    <row r="635" spans="1:9" ht="27" customHeight="1" x14ac:dyDescent="0.3">
      <c r="A635" s="8"/>
      <c r="B635" s="8"/>
      <c r="C635" s="7" t="s">
        <v>212</v>
      </c>
      <c r="D635" s="61"/>
      <c r="E635" s="6" t="s">
        <v>211</v>
      </c>
      <c r="F635" s="9">
        <f>F636</f>
        <v>13325.4</v>
      </c>
      <c r="G635" s="9">
        <f t="shared" ref="G635:H635" si="258">G636</f>
        <v>13325.4</v>
      </c>
      <c r="H635" s="9">
        <f t="shared" si="258"/>
        <v>13325.4</v>
      </c>
      <c r="I635" s="354">
        <f t="shared" si="254"/>
        <v>100</v>
      </c>
    </row>
    <row r="636" spans="1:9" ht="27" x14ac:dyDescent="0.3">
      <c r="A636" s="8"/>
      <c r="B636" s="8"/>
      <c r="C636" s="7"/>
      <c r="D636" s="7" t="s">
        <v>57</v>
      </c>
      <c r="E636" s="6" t="s">
        <v>56</v>
      </c>
      <c r="F636" s="9">
        <v>13325.4</v>
      </c>
      <c r="G636" s="9">
        <v>13325.4</v>
      </c>
      <c r="H636" s="9">
        <v>13325.4</v>
      </c>
      <c r="I636" s="354">
        <f t="shared" si="254"/>
        <v>100</v>
      </c>
    </row>
    <row r="637" spans="1:9" x14ac:dyDescent="0.3">
      <c r="A637" s="37"/>
      <c r="B637" s="23" t="s">
        <v>138</v>
      </c>
      <c r="C637" s="22"/>
      <c r="D637" s="23"/>
      <c r="E637" s="28" t="s">
        <v>137</v>
      </c>
      <c r="F637" s="27">
        <f>F638+F684</f>
        <v>14491.862519999999</v>
      </c>
      <c r="G637" s="27">
        <f>G638+G684</f>
        <v>14503.962520000001</v>
      </c>
      <c r="H637" s="27">
        <f>H638+H684</f>
        <v>14383.142589999999</v>
      </c>
      <c r="I637" s="358">
        <f t="shared" si="254"/>
        <v>99.166986747012075</v>
      </c>
    </row>
    <row r="638" spans="1:9" x14ac:dyDescent="0.3">
      <c r="A638" s="37"/>
      <c r="B638" s="23"/>
      <c r="C638" s="22" t="s">
        <v>36</v>
      </c>
      <c r="D638" s="23"/>
      <c r="E638" s="28" t="s">
        <v>35</v>
      </c>
      <c r="F638" s="27">
        <f>F639+F646</f>
        <v>14422.3</v>
      </c>
      <c r="G638" s="27">
        <f t="shared" ref="G638" si="259">G639+G646</f>
        <v>14434.400000000001</v>
      </c>
      <c r="H638" s="27">
        <f>H639+H646</f>
        <v>14313.58007</v>
      </c>
      <c r="I638" s="358">
        <f t="shared" si="254"/>
        <v>99.162972274566314</v>
      </c>
    </row>
    <row r="639" spans="1:9" ht="26.4" x14ac:dyDescent="0.3">
      <c r="A639" s="54"/>
      <c r="B639" s="34"/>
      <c r="C639" s="35" t="s">
        <v>34</v>
      </c>
      <c r="D639" s="34"/>
      <c r="E639" s="33" t="s">
        <v>33</v>
      </c>
      <c r="F639" s="32">
        <f t="shared" ref="F639:H641" si="260">F640</f>
        <v>7108.8</v>
      </c>
      <c r="G639" s="32">
        <f t="shared" si="260"/>
        <v>7108.8</v>
      </c>
      <c r="H639" s="32">
        <f t="shared" si="260"/>
        <v>7108.8</v>
      </c>
      <c r="I639" s="351">
        <f t="shared" si="254"/>
        <v>100</v>
      </c>
    </row>
    <row r="640" spans="1:9" ht="27" x14ac:dyDescent="0.3">
      <c r="A640" s="31"/>
      <c r="B640" s="31"/>
      <c r="C640" s="31" t="s">
        <v>32</v>
      </c>
      <c r="D640" s="31"/>
      <c r="E640" s="30" t="s">
        <v>31</v>
      </c>
      <c r="F640" s="29">
        <f t="shared" si="260"/>
        <v>7108.8</v>
      </c>
      <c r="G640" s="29">
        <f t="shared" si="260"/>
        <v>7108.8</v>
      </c>
      <c r="H640" s="29">
        <f t="shared" si="260"/>
        <v>7108.8</v>
      </c>
      <c r="I640" s="352">
        <f t="shared" si="254"/>
        <v>100</v>
      </c>
    </row>
    <row r="641" spans="1:9" ht="40.200000000000003" x14ac:dyDescent="0.3">
      <c r="A641" s="190"/>
      <c r="B641" s="190"/>
      <c r="C641" s="190" t="s">
        <v>30</v>
      </c>
      <c r="D641" s="190"/>
      <c r="E641" s="191" t="s">
        <v>29</v>
      </c>
      <c r="F641" s="192">
        <f t="shared" si="260"/>
        <v>7108.8</v>
      </c>
      <c r="G641" s="192">
        <f t="shared" si="260"/>
        <v>7108.8</v>
      </c>
      <c r="H641" s="192">
        <f t="shared" si="260"/>
        <v>7108.8</v>
      </c>
      <c r="I641" s="353">
        <f t="shared" si="254"/>
        <v>100</v>
      </c>
    </row>
    <row r="642" spans="1:9" ht="26.4" x14ac:dyDescent="0.3">
      <c r="A642" s="8"/>
      <c r="B642" s="8"/>
      <c r="C642" s="7" t="s">
        <v>28</v>
      </c>
      <c r="D642" s="7"/>
      <c r="E642" s="10" t="s">
        <v>27</v>
      </c>
      <c r="F642" s="9">
        <f>F643+F644</f>
        <v>7108.8</v>
      </c>
      <c r="G642" s="9">
        <f>G643+G644+G645</f>
        <v>7108.8</v>
      </c>
      <c r="H642" s="9">
        <f>H643+H644+H645</f>
        <v>7108.8</v>
      </c>
      <c r="I642" s="354">
        <f t="shared" si="254"/>
        <v>100</v>
      </c>
    </row>
    <row r="643" spans="1:9" ht="40.200000000000003" x14ac:dyDescent="0.3">
      <c r="A643" s="8"/>
      <c r="B643" s="8"/>
      <c r="C643" s="7"/>
      <c r="D643" s="7" t="s">
        <v>2</v>
      </c>
      <c r="E643" s="6" t="s">
        <v>1</v>
      </c>
      <c r="F643" s="9">
        <f>6634.1+264.3</f>
        <v>6898.4000000000005</v>
      </c>
      <c r="G643" s="9">
        <v>6914.7695999999996</v>
      </c>
      <c r="H643" s="9">
        <v>6914.7695999999996</v>
      </c>
      <c r="I643" s="354">
        <f t="shared" si="254"/>
        <v>100</v>
      </c>
    </row>
    <row r="644" spans="1:9" x14ac:dyDescent="0.3">
      <c r="A644" s="8"/>
      <c r="B644" s="8"/>
      <c r="C644" s="7"/>
      <c r="D644" s="7" t="s">
        <v>12</v>
      </c>
      <c r="E644" s="6" t="s">
        <v>11</v>
      </c>
      <c r="F644" s="9">
        <v>210.4</v>
      </c>
      <c r="G644" s="9">
        <v>180.8998</v>
      </c>
      <c r="H644" s="9">
        <v>180.8998</v>
      </c>
      <c r="I644" s="354">
        <f t="shared" si="254"/>
        <v>100</v>
      </c>
    </row>
    <row r="645" spans="1:9" x14ac:dyDescent="0.3">
      <c r="A645" s="343"/>
      <c r="B645" s="343"/>
      <c r="C645" s="342"/>
      <c r="D645" s="177">
        <v>300</v>
      </c>
      <c r="E645" s="6" t="s">
        <v>78</v>
      </c>
      <c r="F645" s="344"/>
      <c r="G645" s="344">
        <v>13.130599999999999</v>
      </c>
      <c r="H645" s="344">
        <v>13.130599999999999</v>
      </c>
      <c r="I645" s="354">
        <f t="shared" si="254"/>
        <v>100</v>
      </c>
    </row>
    <row r="646" spans="1:9" ht="26.4" x14ac:dyDescent="0.3">
      <c r="A646" s="54"/>
      <c r="B646" s="34"/>
      <c r="C646" s="35" t="s">
        <v>87</v>
      </c>
      <c r="D646" s="34"/>
      <c r="E646" s="33" t="s">
        <v>86</v>
      </c>
      <c r="F646" s="32">
        <f>F647+F670+F676+F659</f>
        <v>7313.5</v>
      </c>
      <c r="G646" s="32">
        <f>G647+G670+G676+G659+G680</f>
        <v>7325.6</v>
      </c>
      <c r="H646" s="32">
        <f>H647+H670+H676+H659+H680</f>
        <v>7204.7800700000007</v>
      </c>
      <c r="I646" s="351">
        <f t="shared" si="254"/>
        <v>98.350716255323803</v>
      </c>
    </row>
    <row r="647" spans="1:9" x14ac:dyDescent="0.3">
      <c r="A647" s="31"/>
      <c r="B647" s="31"/>
      <c r="C647" s="31" t="s">
        <v>210</v>
      </c>
      <c r="D647" s="31"/>
      <c r="E647" s="30" t="s">
        <v>209</v>
      </c>
      <c r="F647" s="29">
        <f>F648</f>
        <v>741.09999999999991</v>
      </c>
      <c r="G647" s="29">
        <f t="shared" ref="G647:H647" si="261">G648</f>
        <v>741.09999999999991</v>
      </c>
      <c r="H647" s="29">
        <f t="shared" si="261"/>
        <v>741.09999999999991</v>
      </c>
      <c r="I647" s="352">
        <f t="shared" si="254"/>
        <v>100</v>
      </c>
    </row>
    <row r="648" spans="1:9" ht="27" x14ac:dyDescent="0.3">
      <c r="A648" s="190"/>
      <c r="B648" s="190"/>
      <c r="C648" s="190" t="s">
        <v>208</v>
      </c>
      <c r="D648" s="190"/>
      <c r="E648" s="191" t="s">
        <v>207</v>
      </c>
      <c r="F648" s="192">
        <f>F649+F651+F653+F655+F657</f>
        <v>741.09999999999991</v>
      </c>
      <c r="G648" s="192">
        <f t="shared" ref="G648:H648" si="262">G649+G651+G653+G655+G657</f>
        <v>741.09999999999991</v>
      </c>
      <c r="H648" s="192">
        <f t="shared" si="262"/>
        <v>741.09999999999991</v>
      </c>
      <c r="I648" s="353">
        <f t="shared" si="254"/>
        <v>100</v>
      </c>
    </row>
    <row r="649" spans="1:9" x14ac:dyDescent="0.3">
      <c r="A649" s="8"/>
      <c r="B649" s="8"/>
      <c r="C649" s="7" t="s">
        <v>206</v>
      </c>
      <c r="D649" s="7"/>
      <c r="E649" s="6" t="s">
        <v>205</v>
      </c>
      <c r="F649" s="9">
        <f>F650</f>
        <v>290.5</v>
      </c>
      <c r="G649" s="9">
        <f t="shared" ref="G649:H649" si="263">G650</f>
        <v>290.5</v>
      </c>
      <c r="H649" s="9">
        <f t="shared" si="263"/>
        <v>290.5</v>
      </c>
      <c r="I649" s="354">
        <f t="shared" si="254"/>
        <v>100</v>
      </c>
    </row>
    <row r="650" spans="1:9" ht="27" x14ac:dyDescent="0.3">
      <c r="A650" s="8"/>
      <c r="B650" s="8"/>
      <c r="C650" s="7"/>
      <c r="D650" s="7" t="s">
        <v>57</v>
      </c>
      <c r="E650" s="6" t="s">
        <v>56</v>
      </c>
      <c r="F650" s="9">
        <v>290.5</v>
      </c>
      <c r="G650" s="9">
        <v>290.5</v>
      </c>
      <c r="H650" s="9">
        <v>290.5</v>
      </c>
      <c r="I650" s="354">
        <f t="shared" si="254"/>
        <v>100</v>
      </c>
    </row>
    <row r="651" spans="1:9" x14ac:dyDescent="0.3">
      <c r="A651" s="8"/>
      <c r="B651" s="8"/>
      <c r="C651" s="7" t="s">
        <v>204</v>
      </c>
      <c r="D651" s="7"/>
      <c r="E651" s="6" t="s">
        <v>203</v>
      </c>
      <c r="F651" s="9">
        <f>F652</f>
        <v>120.3</v>
      </c>
      <c r="G651" s="9">
        <f t="shared" ref="G651:H651" si="264">G652</f>
        <v>120.3</v>
      </c>
      <c r="H651" s="9">
        <f t="shared" si="264"/>
        <v>120.3</v>
      </c>
      <c r="I651" s="354">
        <f t="shared" si="254"/>
        <v>100</v>
      </c>
    </row>
    <row r="652" spans="1:9" ht="27" x14ac:dyDescent="0.3">
      <c r="A652" s="8"/>
      <c r="B652" s="8"/>
      <c r="C652" s="7"/>
      <c r="D652" s="7" t="s">
        <v>57</v>
      </c>
      <c r="E652" s="6" t="s">
        <v>56</v>
      </c>
      <c r="F652" s="9">
        <v>120.3</v>
      </c>
      <c r="G652" s="9">
        <v>120.3</v>
      </c>
      <c r="H652" s="9">
        <v>120.3</v>
      </c>
      <c r="I652" s="354">
        <f t="shared" si="254"/>
        <v>100</v>
      </c>
    </row>
    <row r="653" spans="1:9" x14ac:dyDescent="0.3">
      <c r="A653" s="8"/>
      <c r="B653" s="8"/>
      <c r="C653" s="7" t="s">
        <v>202</v>
      </c>
      <c r="D653" s="7"/>
      <c r="E653" s="6" t="s">
        <v>201</v>
      </c>
      <c r="F653" s="9">
        <f>F654</f>
        <v>70.2</v>
      </c>
      <c r="G653" s="9">
        <f t="shared" ref="G653:H653" si="265">G654</f>
        <v>70.2</v>
      </c>
      <c r="H653" s="9">
        <f t="shared" si="265"/>
        <v>70.2</v>
      </c>
      <c r="I653" s="354">
        <f t="shared" si="254"/>
        <v>100</v>
      </c>
    </row>
    <row r="654" spans="1:9" ht="27" x14ac:dyDescent="0.3">
      <c r="A654" s="8"/>
      <c r="B654" s="8"/>
      <c r="C654" s="7"/>
      <c r="D654" s="7" t="s">
        <v>57</v>
      </c>
      <c r="E654" s="6" t="s">
        <v>56</v>
      </c>
      <c r="F654" s="9">
        <v>70.2</v>
      </c>
      <c r="G654" s="9">
        <v>70.2</v>
      </c>
      <c r="H654" s="9">
        <v>70.2</v>
      </c>
      <c r="I654" s="354">
        <f t="shared" si="254"/>
        <v>100</v>
      </c>
    </row>
    <row r="655" spans="1:9" ht="27" customHeight="1" x14ac:dyDescent="0.3">
      <c r="A655" s="8"/>
      <c r="B655" s="8"/>
      <c r="C655" s="7" t="s">
        <v>200</v>
      </c>
      <c r="D655" s="7"/>
      <c r="E655" s="6" t="s">
        <v>199</v>
      </c>
      <c r="F655" s="9">
        <f>F656</f>
        <v>85.9</v>
      </c>
      <c r="G655" s="9">
        <f t="shared" ref="G655:H655" si="266">G656</f>
        <v>85.9</v>
      </c>
      <c r="H655" s="9">
        <f t="shared" si="266"/>
        <v>85.9</v>
      </c>
      <c r="I655" s="354">
        <f t="shared" si="254"/>
        <v>100</v>
      </c>
    </row>
    <row r="656" spans="1:9" ht="27" x14ac:dyDescent="0.3">
      <c r="A656" s="8"/>
      <c r="B656" s="8"/>
      <c r="C656" s="7"/>
      <c r="D656" s="7" t="s">
        <v>57</v>
      </c>
      <c r="E656" s="6" t="s">
        <v>56</v>
      </c>
      <c r="F656" s="9">
        <v>85.9</v>
      </c>
      <c r="G656" s="9">
        <v>85.9</v>
      </c>
      <c r="H656" s="9">
        <v>85.9</v>
      </c>
      <c r="I656" s="354">
        <f t="shared" si="254"/>
        <v>100</v>
      </c>
    </row>
    <row r="657" spans="1:9" ht="14.25" customHeight="1" x14ac:dyDescent="0.3">
      <c r="A657" s="8"/>
      <c r="B657" s="8"/>
      <c r="C657" s="7" t="s">
        <v>198</v>
      </c>
      <c r="D657" s="7"/>
      <c r="E657" s="6" t="s">
        <v>197</v>
      </c>
      <c r="F657" s="9">
        <f>F658</f>
        <v>174.2</v>
      </c>
      <c r="G657" s="9">
        <f t="shared" ref="G657:H657" si="267">G658</f>
        <v>174.2</v>
      </c>
      <c r="H657" s="9">
        <f t="shared" si="267"/>
        <v>174.2</v>
      </c>
      <c r="I657" s="354">
        <f t="shared" si="254"/>
        <v>100</v>
      </c>
    </row>
    <row r="658" spans="1:9" ht="27" x14ac:dyDescent="0.3">
      <c r="A658" s="8"/>
      <c r="B658" s="8"/>
      <c r="C658" s="7"/>
      <c r="D658" s="7" t="s">
        <v>57</v>
      </c>
      <c r="E658" s="6" t="s">
        <v>56</v>
      </c>
      <c r="F658" s="9">
        <v>174.2</v>
      </c>
      <c r="G658" s="9">
        <v>174.2</v>
      </c>
      <c r="H658" s="9">
        <v>174.2</v>
      </c>
      <c r="I658" s="354">
        <f t="shared" si="254"/>
        <v>100</v>
      </c>
    </row>
    <row r="659" spans="1:9" x14ac:dyDescent="0.3">
      <c r="A659" s="31"/>
      <c r="B659" s="31"/>
      <c r="C659" s="31" t="s">
        <v>136</v>
      </c>
      <c r="D659" s="31"/>
      <c r="E659" s="30" t="s">
        <v>135</v>
      </c>
      <c r="F659" s="29">
        <f>F660</f>
        <v>6240.9000000000005</v>
      </c>
      <c r="G659" s="29">
        <f t="shared" ref="G659:H659" si="268">G660</f>
        <v>6233</v>
      </c>
      <c r="H659" s="29">
        <f t="shared" si="268"/>
        <v>6112.1800700000003</v>
      </c>
      <c r="I659" s="352">
        <f t="shared" si="254"/>
        <v>98.061608695652183</v>
      </c>
    </row>
    <row r="660" spans="1:9" ht="26.25" customHeight="1" x14ac:dyDescent="0.3">
      <c r="A660" s="190"/>
      <c r="B660" s="190"/>
      <c r="C660" s="190" t="s">
        <v>134</v>
      </c>
      <c r="D660" s="190"/>
      <c r="E660" s="191" t="s">
        <v>133</v>
      </c>
      <c r="F660" s="192">
        <f>F665+F661+F663</f>
        <v>6240.9000000000005</v>
      </c>
      <c r="G660" s="192">
        <f t="shared" ref="G660:H660" si="269">G665+G661+G663</f>
        <v>6233</v>
      </c>
      <c r="H660" s="192">
        <f t="shared" si="269"/>
        <v>6112.1800700000003</v>
      </c>
      <c r="I660" s="353">
        <f t="shared" si="254"/>
        <v>98.061608695652183</v>
      </c>
    </row>
    <row r="661" spans="1:9" ht="25.5" customHeight="1" x14ac:dyDescent="0.3">
      <c r="A661" s="8"/>
      <c r="B661" s="8"/>
      <c r="C661" s="7" t="s">
        <v>196</v>
      </c>
      <c r="D661" s="7"/>
      <c r="E661" s="138" t="s">
        <v>754</v>
      </c>
      <c r="F661" s="9">
        <f>F662</f>
        <v>74</v>
      </c>
      <c r="G661" s="9">
        <f t="shared" ref="G661:H661" si="270">G662</f>
        <v>47.230519999999999</v>
      </c>
      <c r="H661" s="9">
        <f t="shared" si="270"/>
        <v>30.734200000000001</v>
      </c>
      <c r="I661" s="354">
        <f t="shared" si="254"/>
        <v>65.072753804108032</v>
      </c>
    </row>
    <row r="662" spans="1:9" ht="27" x14ac:dyDescent="0.3">
      <c r="A662" s="8"/>
      <c r="B662" s="8"/>
      <c r="C662" s="7"/>
      <c r="D662" s="7" t="s">
        <v>57</v>
      </c>
      <c r="E662" s="6" t="s">
        <v>56</v>
      </c>
      <c r="F662" s="9">
        <v>74</v>
      </c>
      <c r="G662" s="9">
        <v>47.230519999999999</v>
      </c>
      <c r="H662" s="9">
        <v>30.734200000000001</v>
      </c>
      <c r="I662" s="354">
        <f t="shared" si="254"/>
        <v>65.072753804108032</v>
      </c>
    </row>
    <row r="663" spans="1:9" ht="27" x14ac:dyDescent="0.3">
      <c r="A663" s="8"/>
      <c r="B663" s="8"/>
      <c r="C663" s="7" t="s">
        <v>132</v>
      </c>
      <c r="D663" s="7"/>
      <c r="E663" s="6" t="s">
        <v>131</v>
      </c>
      <c r="F663" s="9">
        <f>F664</f>
        <v>1560.8</v>
      </c>
      <c r="G663" s="9">
        <f t="shared" ref="G663:H663" si="271">G664</f>
        <v>1579.66948</v>
      </c>
      <c r="H663" s="9">
        <f t="shared" si="271"/>
        <v>1562.2963199999999</v>
      </c>
      <c r="I663" s="354">
        <f t="shared" si="254"/>
        <v>98.900202844964753</v>
      </c>
    </row>
    <row r="664" spans="1:9" ht="27" x14ac:dyDescent="0.3">
      <c r="A664" s="8"/>
      <c r="B664" s="8"/>
      <c r="C664" s="7"/>
      <c r="D664" s="7" t="s">
        <v>57</v>
      </c>
      <c r="E664" s="6" t="s">
        <v>56</v>
      </c>
      <c r="F664" s="9">
        <v>1560.8</v>
      </c>
      <c r="G664" s="9">
        <v>1579.66948</v>
      </c>
      <c r="H664" s="9">
        <v>1562.2963199999999</v>
      </c>
      <c r="I664" s="354">
        <f t="shared" si="254"/>
        <v>98.900202844964753</v>
      </c>
    </row>
    <row r="665" spans="1:9" ht="27.75" customHeight="1" x14ac:dyDescent="0.3">
      <c r="A665" s="8"/>
      <c r="B665" s="8"/>
      <c r="C665" s="7" t="s">
        <v>195</v>
      </c>
      <c r="D665" s="7"/>
      <c r="E665" s="6" t="s">
        <v>194</v>
      </c>
      <c r="F665" s="9">
        <f>F668</f>
        <v>4606.1000000000004</v>
      </c>
      <c r="G665" s="9">
        <f>G668+G666+G667+G669</f>
        <v>4606.1000000000004</v>
      </c>
      <c r="H665" s="9">
        <f>H668+H666+H667+H669</f>
        <v>4519.1495500000001</v>
      </c>
      <c r="I665" s="354">
        <f t="shared" si="254"/>
        <v>98.112276112112198</v>
      </c>
    </row>
    <row r="666" spans="1:9" ht="27.75" customHeight="1" x14ac:dyDescent="0.3">
      <c r="A666" s="343"/>
      <c r="B666" s="343"/>
      <c r="C666" s="342"/>
      <c r="D666" s="7" t="s">
        <v>12</v>
      </c>
      <c r="E666" s="6" t="s">
        <v>11</v>
      </c>
      <c r="F666" s="344"/>
      <c r="G666" s="344">
        <v>2574.6210999999998</v>
      </c>
      <c r="H666" s="344">
        <v>2574.6210999999998</v>
      </c>
      <c r="I666" s="357"/>
    </row>
    <row r="667" spans="1:9" x14ac:dyDescent="0.3">
      <c r="A667" s="8"/>
      <c r="B667" s="8"/>
      <c r="C667" s="7"/>
      <c r="D667" s="7" t="s">
        <v>79</v>
      </c>
      <c r="E667" s="6" t="s">
        <v>78</v>
      </c>
      <c r="F667" s="9">
        <v>0</v>
      </c>
      <c r="G667" s="9">
        <v>115.35054</v>
      </c>
      <c r="H667" s="9">
        <v>96.377610000000004</v>
      </c>
      <c r="I667" s="354">
        <f t="shared" si="254"/>
        <v>83.551936557904284</v>
      </c>
    </row>
    <row r="668" spans="1:9" ht="27" x14ac:dyDescent="0.3">
      <c r="A668" s="8"/>
      <c r="B668" s="8"/>
      <c r="C668" s="7"/>
      <c r="D668" s="7" t="s">
        <v>57</v>
      </c>
      <c r="E668" s="6" t="s">
        <v>56</v>
      </c>
      <c r="F668" s="9">
        <v>4606.1000000000004</v>
      </c>
      <c r="G668" s="9">
        <v>1820.9029399999999</v>
      </c>
      <c r="H668" s="9">
        <v>1773.8024</v>
      </c>
      <c r="I668" s="354">
        <f t="shared" si="254"/>
        <v>97.413341537028884</v>
      </c>
    </row>
    <row r="669" spans="1:9" x14ac:dyDescent="0.3">
      <c r="A669" s="8"/>
      <c r="B669" s="8"/>
      <c r="C669" s="7"/>
      <c r="D669" s="7" t="s">
        <v>22</v>
      </c>
      <c r="E669" s="6" t="s">
        <v>21</v>
      </c>
      <c r="F669" s="9">
        <v>0</v>
      </c>
      <c r="G669" s="9">
        <v>95.22542</v>
      </c>
      <c r="H669" s="9">
        <v>74.348439999999997</v>
      </c>
      <c r="I669" s="354">
        <f t="shared" si="254"/>
        <v>78.076253168534194</v>
      </c>
    </row>
    <row r="670" spans="1:9" x14ac:dyDescent="0.3">
      <c r="A670" s="31"/>
      <c r="B670" s="31"/>
      <c r="C670" s="31" t="s">
        <v>85</v>
      </c>
      <c r="D670" s="31"/>
      <c r="E670" s="52" t="s">
        <v>84</v>
      </c>
      <c r="F670" s="29">
        <f>F671</f>
        <v>278.2</v>
      </c>
      <c r="G670" s="29">
        <f t="shared" ref="G670:H670" si="272">G671</f>
        <v>278.2</v>
      </c>
      <c r="H670" s="29">
        <f t="shared" si="272"/>
        <v>278.2</v>
      </c>
      <c r="I670" s="352">
        <f t="shared" si="254"/>
        <v>100</v>
      </c>
    </row>
    <row r="671" spans="1:9" ht="27" x14ac:dyDescent="0.3">
      <c r="A671" s="190"/>
      <c r="B671" s="190"/>
      <c r="C671" s="190" t="s">
        <v>193</v>
      </c>
      <c r="D671" s="190"/>
      <c r="E671" s="191" t="s">
        <v>192</v>
      </c>
      <c r="F671" s="192">
        <f>F674+F672</f>
        <v>278.2</v>
      </c>
      <c r="G671" s="192">
        <f t="shared" ref="G671:H671" si="273">G674+G672</f>
        <v>278.2</v>
      </c>
      <c r="H671" s="192">
        <f t="shared" si="273"/>
        <v>278.2</v>
      </c>
      <c r="I671" s="353">
        <f t="shared" si="254"/>
        <v>100</v>
      </c>
    </row>
    <row r="672" spans="1:9" x14ac:dyDescent="0.3">
      <c r="A672" s="73"/>
      <c r="B672" s="73"/>
      <c r="C672" s="73" t="s">
        <v>191</v>
      </c>
      <c r="D672" s="73"/>
      <c r="E672" s="72" t="s">
        <v>190</v>
      </c>
      <c r="F672" s="9">
        <f>F673</f>
        <v>175</v>
      </c>
      <c r="G672" s="9">
        <f t="shared" ref="G672:H672" si="274">G673</f>
        <v>175</v>
      </c>
      <c r="H672" s="9">
        <f t="shared" si="274"/>
        <v>175</v>
      </c>
      <c r="I672" s="354">
        <f t="shared" si="254"/>
        <v>100</v>
      </c>
    </row>
    <row r="673" spans="1:9" ht="27" x14ac:dyDescent="0.3">
      <c r="A673" s="73"/>
      <c r="B673" s="73"/>
      <c r="C673" s="73"/>
      <c r="D673" s="73" t="s">
        <v>57</v>
      </c>
      <c r="E673" s="72" t="s">
        <v>56</v>
      </c>
      <c r="F673" s="9">
        <v>175</v>
      </c>
      <c r="G673" s="9">
        <v>175</v>
      </c>
      <c r="H673" s="9">
        <v>175</v>
      </c>
      <c r="I673" s="354">
        <f t="shared" si="254"/>
        <v>100</v>
      </c>
    </row>
    <row r="674" spans="1:9" ht="27" x14ac:dyDescent="0.3">
      <c r="A674" s="7"/>
      <c r="B674" s="7"/>
      <c r="C674" s="7" t="s">
        <v>189</v>
      </c>
      <c r="D674" s="7"/>
      <c r="E674" s="6" t="s">
        <v>188</v>
      </c>
      <c r="F674" s="9">
        <f>F675</f>
        <v>103.2</v>
      </c>
      <c r="G674" s="9">
        <f t="shared" ref="G674:H674" si="275">G675</f>
        <v>103.2</v>
      </c>
      <c r="H674" s="9">
        <f t="shared" si="275"/>
        <v>103.2</v>
      </c>
      <c r="I674" s="354">
        <f t="shared" si="254"/>
        <v>100</v>
      </c>
    </row>
    <row r="675" spans="1:9" ht="27" x14ac:dyDescent="0.3">
      <c r="A675" s="7"/>
      <c r="B675" s="7"/>
      <c r="C675" s="7"/>
      <c r="D675" s="73" t="s">
        <v>57</v>
      </c>
      <c r="E675" s="72" t="s">
        <v>56</v>
      </c>
      <c r="F675" s="9">
        <v>103.2</v>
      </c>
      <c r="G675" s="9">
        <v>103.2</v>
      </c>
      <c r="H675" s="9">
        <v>103.2</v>
      </c>
      <c r="I675" s="354">
        <f t="shared" si="254"/>
        <v>100</v>
      </c>
    </row>
    <row r="676" spans="1:9" x14ac:dyDescent="0.3">
      <c r="A676" s="31"/>
      <c r="B676" s="31"/>
      <c r="C676" s="31" t="s">
        <v>187</v>
      </c>
      <c r="D676" s="31"/>
      <c r="E676" s="52" t="s">
        <v>186</v>
      </c>
      <c r="F676" s="29">
        <f t="shared" ref="F676:H677" si="276">F677</f>
        <v>53.3</v>
      </c>
      <c r="G676" s="29">
        <f t="shared" si="276"/>
        <v>53.3</v>
      </c>
      <c r="H676" s="29">
        <f t="shared" si="276"/>
        <v>53.3</v>
      </c>
      <c r="I676" s="352">
        <f t="shared" si="254"/>
        <v>100</v>
      </c>
    </row>
    <row r="677" spans="1:9" x14ac:dyDescent="0.3">
      <c r="A677" s="190"/>
      <c r="B677" s="190"/>
      <c r="C677" s="190" t="s">
        <v>185</v>
      </c>
      <c r="D677" s="190"/>
      <c r="E677" s="191" t="s">
        <v>184</v>
      </c>
      <c r="F677" s="192">
        <f t="shared" si="276"/>
        <v>53.3</v>
      </c>
      <c r="G677" s="192">
        <f t="shared" si="276"/>
        <v>53.3</v>
      </c>
      <c r="H677" s="192">
        <f t="shared" si="276"/>
        <v>53.3</v>
      </c>
      <c r="I677" s="353">
        <f t="shared" si="254"/>
        <v>100</v>
      </c>
    </row>
    <row r="678" spans="1:9" ht="27" x14ac:dyDescent="0.3">
      <c r="A678" s="8"/>
      <c r="B678" s="8"/>
      <c r="C678" s="7" t="s">
        <v>183</v>
      </c>
      <c r="D678" s="7"/>
      <c r="E678" s="6" t="s">
        <v>182</v>
      </c>
      <c r="F678" s="9">
        <f>F679</f>
        <v>53.3</v>
      </c>
      <c r="G678" s="9">
        <f>G679</f>
        <v>53.3</v>
      </c>
      <c r="H678" s="9">
        <f>H679</f>
        <v>53.3</v>
      </c>
      <c r="I678" s="354">
        <f t="shared" si="254"/>
        <v>100</v>
      </c>
    </row>
    <row r="679" spans="1:9" ht="27" x14ac:dyDescent="0.3">
      <c r="A679" s="8"/>
      <c r="B679" s="8"/>
      <c r="C679" s="7"/>
      <c r="D679" s="7" t="s">
        <v>57</v>
      </c>
      <c r="E679" s="6" t="s">
        <v>56</v>
      </c>
      <c r="F679" s="9">
        <v>53.3</v>
      </c>
      <c r="G679" s="9">
        <v>53.3</v>
      </c>
      <c r="H679" s="9">
        <v>53.3</v>
      </c>
      <c r="I679" s="354">
        <f t="shared" si="254"/>
        <v>100</v>
      </c>
    </row>
    <row r="680" spans="1:9" ht="26.4" x14ac:dyDescent="0.3">
      <c r="A680" s="428"/>
      <c r="B680" s="428"/>
      <c r="C680" s="428" t="s">
        <v>874</v>
      </c>
      <c r="D680" s="428"/>
      <c r="E680" s="438" t="s">
        <v>875</v>
      </c>
      <c r="F680" s="430">
        <f t="shared" ref="F680:H681" si="277">F681</f>
        <v>0</v>
      </c>
      <c r="G680" s="430">
        <f t="shared" si="277"/>
        <v>20</v>
      </c>
      <c r="H680" s="430">
        <f t="shared" si="277"/>
        <v>20</v>
      </c>
      <c r="I680" s="439">
        <f t="shared" si="254"/>
        <v>100</v>
      </c>
    </row>
    <row r="681" spans="1:9" ht="27" x14ac:dyDescent="0.3">
      <c r="A681" s="440"/>
      <c r="B681" s="440"/>
      <c r="C681" s="440" t="s">
        <v>876</v>
      </c>
      <c r="D681" s="440"/>
      <c r="E681" s="441" t="s">
        <v>877</v>
      </c>
      <c r="F681" s="442">
        <f t="shared" si="277"/>
        <v>0</v>
      </c>
      <c r="G681" s="442">
        <f t="shared" si="277"/>
        <v>20</v>
      </c>
      <c r="H681" s="442">
        <f t="shared" si="277"/>
        <v>20</v>
      </c>
      <c r="I681" s="443">
        <f t="shared" si="254"/>
        <v>100</v>
      </c>
    </row>
    <row r="682" spans="1:9" ht="27" x14ac:dyDescent="0.3">
      <c r="A682" s="343"/>
      <c r="B682" s="343"/>
      <c r="C682" s="342" t="s">
        <v>878</v>
      </c>
      <c r="D682" s="342"/>
      <c r="E682" s="391" t="s">
        <v>877</v>
      </c>
      <c r="F682" s="344">
        <v>0</v>
      </c>
      <c r="G682" s="344">
        <v>20</v>
      </c>
      <c r="H682" s="344">
        <v>20</v>
      </c>
      <c r="I682" s="357">
        <f t="shared" si="254"/>
        <v>100</v>
      </c>
    </row>
    <row r="683" spans="1:9" ht="27" x14ac:dyDescent="0.3">
      <c r="A683" s="343"/>
      <c r="B683" s="343"/>
      <c r="C683" s="342"/>
      <c r="D683" s="342" t="s">
        <v>57</v>
      </c>
      <c r="E683" s="391" t="s">
        <v>56</v>
      </c>
      <c r="F683" s="344">
        <v>0</v>
      </c>
      <c r="G683" s="344">
        <v>20</v>
      </c>
      <c r="H683" s="344">
        <v>20</v>
      </c>
      <c r="I683" s="357">
        <f t="shared" si="254"/>
        <v>100</v>
      </c>
    </row>
    <row r="684" spans="1:9" x14ac:dyDescent="0.3">
      <c r="A684" s="112"/>
      <c r="B684" s="112"/>
      <c r="C684" s="49" t="s">
        <v>52</v>
      </c>
      <c r="D684" s="48"/>
      <c r="E684" s="47" t="s">
        <v>51</v>
      </c>
      <c r="F684" s="110">
        <f t="shared" ref="F684:H686" si="278">F685</f>
        <v>69.562520000000006</v>
      </c>
      <c r="G684" s="110">
        <f t="shared" si="278"/>
        <v>69.562520000000006</v>
      </c>
      <c r="H684" s="110">
        <f t="shared" si="278"/>
        <v>69.562520000000006</v>
      </c>
      <c r="I684" s="355">
        <f t="shared" si="254"/>
        <v>100</v>
      </c>
    </row>
    <row r="685" spans="1:9" ht="26.4" x14ac:dyDescent="0.3">
      <c r="A685" s="124"/>
      <c r="B685" s="124"/>
      <c r="C685" s="123" t="s">
        <v>16</v>
      </c>
      <c r="D685" s="122"/>
      <c r="E685" s="121" t="s">
        <v>44</v>
      </c>
      <c r="F685" s="120">
        <f t="shared" si="278"/>
        <v>69.562520000000006</v>
      </c>
      <c r="G685" s="120">
        <f t="shared" si="278"/>
        <v>69.562520000000006</v>
      </c>
      <c r="H685" s="120">
        <f t="shared" si="278"/>
        <v>69.562520000000006</v>
      </c>
      <c r="I685" s="356">
        <f t="shared" si="254"/>
        <v>100</v>
      </c>
    </row>
    <row r="686" spans="1:9" x14ac:dyDescent="0.3">
      <c r="A686" s="343"/>
      <c r="B686" s="343"/>
      <c r="C686" s="342" t="s">
        <v>848</v>
      </c>
      <c r="D686" s="267"/>
      <c r="E686" s="270" t="s">
        <v>847</v>
      </c>
      <c r="F686" s="344">
        <f>F687</f>
        <v>69.562520000000006</v>
      </c>
      <c r="G686" s="344">
        <f t="shared" si="278"/>
        <v>69.562520000000006</v>
      </c>
      <c r="H686" s="344">
        <f t="shared" si="278"/>
        <v>69.562520000000006</v>
      </c>
      <c r="I686" s="357">
        <f t="shared" si="254"/>
        <v>100</v>
      </c>
    </row>
    <row r="687" spans="1:9" ht="40.200000000000003" x14ac:dyDescent="0.3">
      <c r="A687" s="343"/>
      <c r="B687" s="343"/>
      <c r="C687" s="342"/>
      <c r="D687" s="7" t="s">
        <v>2</v>
      </c>
      <c r="E687" s="6" t="s">
        <v>1</v>
      </c>
      <c r="F687" s="344">
        <v>69.562520000000006</v>
      </c>
      <c r="G687" s="344">
        <v>69.562520000000006</v>
      </c>
      <c r="H687" s="344">
        <v>69.562520000000006</v>
      </c>
      <c r="I687" s="357">
        <f t="shared" si="254"/>
        <v>100</v>
      </c>
    </row>
    <row r="688" spans="1:9" x14ac:dyDescent="0.3">
      <c r="A688" s="8"/>
      <c r="B688" s="23">
        <v>1000</v>
      </c>
      <c r="C688" s="22"/>
      <c r="D688" s="21"/>
      <c r="E688" s="20" t="s">
        <v>89</v>
      </c>
      <c r="F688" s="27">
        <f>F689+F711</f>
        <v>29695.971000000001</v>
      </c>
      <c r="G688" s="27">
        <f t="shared" ref="G688:H688" si="279">G689+G711</f>
        <v>28868.370999999999</v>
      </c>
      <c r="H688" s="27">
        <f t="shared" si="279"/>
        <v>26931.097999999998</v>
      </c>
      <c r="I688" s="358">
        <f t="shared" si="254"/>
        <v>93.289288820626552</v>
      </c>
    </row>
    <row r="689" spans="1:9" x14ac:dyDescent="0.3">
      <c r="A689" s="8"/>
      <c r="B689" s="23">
        <v>1003</v>
      </c>
      <c r="C689" s="22"/>
      <c r="D689" s="21"/>
      <c r="E689" s="20" t="s">
        <v>88</v>
      </c>
      <c r="F689" s="27">
        <f t="shared" ref="F689:H690" si="280">F690</f>
        <v>25121.671000000002</v>
      </c>
      <c r="G689" s="27">
        <f t="shared" si="280"/>
        <v>24294.071</v>
      </c>
      <c r="H689" s="27">
        <f t="shared" si="280"/>
        <v>23054.498</v>
      </c>
      <c r="I689" s="358">
        <f t="shared" si="254"/>
        <v>94.897631607316853</v>
      </c>
    </row>
    <row r="690" spans="1:9" x14ac:dyDescent="0.3">
      <c r="A690" s="8"/>
      <c r="B690" s="23"/>
      <c r="C690" s="22" t="s">
        <v>36</v>
      </c>
      <c r="D690" s="21"/>
      <c r="E690" s="28" t="s">
        <v>35</v>
      </c>
      <c r="F690" s="27">
        <f t="shared" si="280"/>
        <v>25121.671000000002</v>
      </c>
      <c r="G690" s="27">
        <f t="shared" si="280"/>
        <v>24294.071</v>
      </c>
      <c r="H690" s="27">
        <f t="shared" si="280"/>
        <v>23054.498</v>
      </c>
      <c r="I690" s="358">
        <f t="shared" si="254"/>
        <v>94.897631607316853</v>
      </c>
    </row>
    <row r="691" spans="1:9" ht="26.4" x14ac:dyDescent="0.3">
      <c r="A691" s="35"/>
      <c r="B691" s="35"/>
      <c r="C691" s="35" t="s">
        <v>87</v>
      </c>
      <c r="D691" s="34"/>
      <c r="E691" s="33" t="s">
        <v>86</v>
      </c>
      <c r="F691" s="32">
        <f>F692+F696+F704</f>
        <v>25121.671000000002</v>
      </c>
      <c r="G691" s="32">
        <f t="shared" ref="G691:H691" si="281">G692+G696+G704</f>
        <v>24294.071</v>
      </c>
      <c r="H691" s="32">
        <f t="shared" si="281"/>
        <v>23054.498</v>
      </c>
      <c r="I691" s="351">
        <f t="shared" si="254"/>
        <v>94.897631607316853</v>
      </c>
    </row>
    <row r="692" spans="1:9" x14ac:dyDescent="0.3">
      <c r="A692" s="31"/>
      <c r="B692" s="31"/>
      <c r="C692" s="31" t="s">
        <v>165</v>
      </c>
      <c r="D692" s="31"/>
      <c r="E692" s="52" t="s">
        <v>164</v>
      </c>
      <c r="F692" s="29">
        <f t="shared" ref="F692:H694" si="282">F693</f>
        <v>138.19999999999999</v>
      </c>
      <c r="G692" s="29">
        <f t="shared" si="282"/>
        <v>168.047</v>
      </c>
      <c r="H692" s="29">
        <f t="shared" si="282"/>
        <v>168.047</v>
      </c>
      <c r="I692" s="352">
        <f t="shared" si="254"/>
        <v>100</v>
      </c>
    </row>
    <row r="693" spans="1:9" ht="27" x14ac:dyDescent="0.3">
      <c r="A693" s="190"/>
      <c r="B693" s="190"/>
      <c r="C693" s="190" t="s">
        <v>163</v>
      </c>
      <c r="D693" s="190"/>
      <c r="E693" s="191" t="s">
        <v>181</v>
      </c>
      <c r="F693" s="192">
        <f t="shared" si="282"/>
        <v>138.19999999999999</v>
      </c>
      <c r="G693" s="192">
        <f t="shared" si="282"/>
        <v>168.047</v>
      </c>
      <c r="H693" s="192">
        <f t="shared" si="282"/>
        <v>168.047</v>
      </c>
      <c r="I693" s="353">
        <f t="shared" si="254"/>
        <v>100</v>
      </c>
    </row>
    <row r="694" spans="1:9" ht="27" x14ac:dyDescent="0.3">
      <c r="A694" s="8"/>
      <c r="B694" s="8"/>
      <c r="C694" s="55" t="s">
        <v>180</v>
      </c>
      <c r="D694" s="7"/>
      <c r="E694" s="6" t="s">
        <v>695</v>
      </c>
      <c r="F694" s="9">
        <f t="shared" si="282"/>
        <v>138.19999999999999</v>
      </c>
      <c r="G694" s="9">
        <f t="shared" si="282"/>
        <v>168.047</v>
      </c>
      <c r="H694" s="9">
        <f t="shared" si="282"/>
        <v>168.047</v>
      </c>
      <c r="I694" s="354">
        <f t="shared" si="254"/>
        <v>100</v>
      </c>
    </row>
    <row r="695" spans="1:9" ht="27" x14ac:dyDescent="0.3">
      <c r="A695" s="8"/>
      <c r="B695" s="8"/>
      <c r="C695" s="55"/>
      <c r="D695" s="7" t="s">
        <v>57</v>
      </c>
      <c r="E695" s="6" t="s">
        <v>56</v>
      </c>
      <c r="F695" s="9">
        <v>138.19999999999999</v>
      </c>
      <c r="G695" s="9">
        <v>168.047</v>
      </c>
      <c r="H695" s="9">
        <v>168.047</v>
      </c>
      <c r="I695" s="354">
        <f t="shared" si="254"/>
        <v>100</v>
      </c>
    </row>
    <row r="696" spans="1:9" x14ac:dyDescent="0.3">
      <c r="A696" s="31"/>
      <c r="B696" s="31"/>
      <c r="C696" s="31" t="s">
        <v>179</v>
      </c>
      <c r="D696" s="31"/>
      <c r="E696" s="52" t="s">
        <v>178</v>
      </c>
      <c r="F696" s="29">
        <f>F697</f>
        <v>9490.7000000000007</v>
      </c>
      <c r="G696" s="29">
        <f t="shared" ref="G696:H696" si="283">G697</f>
        <v>8031.0529999999999</v>
      </c>
      <c r="H696" s="29">
        <f t="shared" si="283"/>
        <v>7454.98</v>
      </c>
      <c r="I696" s="352">
        <f t="shared" si="254"/>
        <v>92.826930665256469</v>
      </c>
    </row>
    <row r="697" spans="1:9" ht="40.200000000000003" x14ac:dyDescent="0.3">
      <c r="A697" s="190"/>
      <c r="B697" s="190"/>
      <c r="C697" s="190" t="s">
        <v>177</v>
      </c>
      <c r="D697" s="190"/>
      <c r="E697" s="191" t="s">
        <v>176</v>
      </c>
      <c r="F697" s="192">
        <f>F698+F700+F702</f>
        <v>9490.7000000000007</v>
      </c>
      <c r="G697" s="192">
        <f t="shared" ref="G697:H697" si="284">G698+G700+G702</f>
        <v>8031.0529999999999</v>
      </c>
      <c r="H697" s="192">
        <f t="shared" si="284"/>
        <v>7454.98</v>
      </c>
      <c r="I697" s="353">
        <f t="shared" ref="I697:I763" si="285">H697/G697*100</f>
        <v>92.826930665256469</v>
      </c>
    </row>
    <row r="698" spans="1:9" ht="26.4" x14ac:dyDescent="0.3">
      <c r="A698" s="8"/>
      <c r="B698" s="8"/>
      <c r="C698" s="71" t="s">
        <v>175</v>
      </c>
      <c r="D698" s="7"/>
      <c r="E698" s="10" t="s">
        <v>174</v>
      </c>
      <c r="F698" s="9">
        <f>F699</f>
        <v>3726.4</v>
      </c>
      <c r="G698" s="9">
        <f t="shared" ref="G698:H698" si="286">G699</f>
        <v>3878.8</v>
      </c>
      <c r="H698" s="9">
        <f t="shared" si="286"/>
        <v>3645.7947899999999</v>
      </c>
      <c r="I698" s="354">
        <f t="shared" si="285"/>
        <v>93.992853202021237</v>
      </c>
    </row>
    <row r="699" spans="1:9" ht="27" x14ac:dyDescent="0.3">
      <c r="A699" s="8"/>
      <c r="B699" s="8"/>
      <c r="C699" s="71"/>
      <c r="D699" s="7" t="s">
        <v>57</v>
      </c>
      <c r="E699" s="6" t="s">
        <v>56</v>
      </c>
      <c r="F699" s="9">
        <v>3726.4</v>
      </c>
      <c r="G699" s="9">
        <v>3878.8</v>
      </c>
      <c r="H699" s="9">
        <v>3645.7947899999999</v>
      </c>
      <c r="I699" s="354">
        <f t="shared" si="285"/>
        <v>93.992853202021237</v>
      </c>
    </row>
    <row r="700" spans="1:9" ht="16.5" customHeight="1" x14ac:dyDescent="0.3">
      <c r="A700" s="8"/>
      <c r="B700" s="8"/>
      <c r="C700" s="71" t="s">
        <v>173</v>
      </c>
      <c r="D700" s="7"/>
      <c r="E700" s="6" t="s">
        <v>172</v>
      </c>
      <c r="F700" s="9">
        <f>F701</f>
        <v>4104.8</v>
      </c>
      <c r="G700" s="9">
        <f t="shared" ref="G700:H700" si="287">G701</f>
        <v>2522.6</v>
      </c>
      <c r="H700" s="9">
        <f t="shared" si="287"/>
        <v>2183.0322099999998</v>
      </c>
      <c r="I700" s="354">
        <f t="shared" si="285"/>
        <v>86.538976056449684</v>
      </c>
    </row>
    <row r="701" spans="1:9" ht="27" x14ac:dyDescent="0.3">
      <c r="A701" s="8"/>
      <c r="B701" s="8"/>
      <c r="C701" s="71"/>
      <c r="D701" s="7" t="s">
        <v>57</v>
      </c>
      <c r="E701" s="6" t="s">
        <v>56</v>
      </c>
      <c r="F701" s="9">
        <v>4104.8</v>
      </c>
      <c r="G701" s="9">
        <v>2522.6</v>
      </c>
      <c r="H701" s="9">
        <v>2183.0322099999998</v>
      </c>
      <c r="I701" s="354">
        <f t="shared" si="285"/>
        <v>86.538976056449684</v>
      </c>
    </row>
    <row r="702" spans="1:9" ht="27" x14ac:dyDescent="0.3">
      <c r="A702" s="8"/>
      <c r="B702" s="8"/>
      <c r="C702" s="7" t="s">
        <v>171</v>
      </c>
      <c r="D702" s="7"/>
      <c r="E702" s="6" t="s">
        <v>752</v>
      </c>
      <c r="F702" s="9">
        <f>F703</f>
        <v>1659.5</v>
      </c>
      <c r="G702" s="9">
        <f t="shared" ref="G702:H702" si="288">G703</f>
        <v>1629.653</v>
      </c>
      <c r="H702" s="9">
        <f t="shared" si="288"/>
        <v>1626.153</v>
      </c>
      <c r="I702" s="354">
        <f t="shared" si="285"/>
        <v>99.785230352719253</v>
      </c>
    </row>
    <row r="703" spans="1:9" ht="27" x14ac:dyDescent="0.3">
      <c r="A703" s="8"/>
      <c r="B703" s="8"/>
      <c r="C703" s="7"/>
      <c r="D703" s="7" t="s">
        <v>57</v>
      </c>
      <c r="E703" s="6" t="s">
        <v>56</v>
      </c>
      <c r="F703" s="9">
        <f>1519.4+140.1</f>
        <v>1659.5</v>
      </c>
      <c r="G703" s="9">
        <v>1629.653</v>
      </c>
      <c r="H703" s="9">
        <v>1626.153</v>
      </c>
      <c r="I703" s="354">
        <f t="shared" si="285"/>
        <v>99.785230352719253</v>
      </c>
    </row>
    <row r="704" spans="1:9" x14ac:dyDescent="0.3">
      <c r="A704" s="31"/>
      <c r="B704" s="31"/>
      <c r="C704" s="31" t="s">
        <v>85</v>
      </c>
      <c r="D704" s="31"/>
      <c r="E704" s="52" t="s">
        <v>84</v>
      </c>
      <c r="F704" s="29">
        <f>F705</f>
        <v>15492.771000000001</v>
      </c>
      <c r="G704" s="29">
        <f t="shared" ref="G704:H704" si="289">G705</f>
        <v>16094.971</v>
      </c>
      <c r="H704" s="29">
        <f t="shared" si="289"/>
        <v>15431.471</v>
      </c>
      <c r="I704" s="352">
        <f t="shared" si="285"/>
        <v>95.877594311912702</v>
      </c>
    </row>
    <row r="705" spans="1:9" ht="27" x14ac:dyDescent="0.3">
      <c r="A705" s="190"/>
      <c r="B705" s="190"/>
      <c r="C705" s="190" t="s">
        <v>83</v>
      </c>
      <c r="D705" s="190"/>
      <c r="E705" s="191" t="s">
        <v>82</v>
      </c>
      <c r="F705" s="192">
        <f>F706+F708</f>
        <v>15492.771000000001</v>
      </c>
      <c r="G705" s="192">
        <f t="shared" ref="G705:H705" si="290">G706+G708</f>
        <v>16094.971</v>
      </c>
      <c r="H705" s="192">
        <f t="shared" si="290"/>
        <v>15431.471</v>
      </c>
      <c r="I705" s="353">
        <f t="shared" si="285"/>
        <v>95.877594311912702</v>
      </c>
    </row>
    <row r="706" spans="1:9" ht="27" x14ac:dyDescent="0.3">
      <c r="A706" s="8"/>
      <c r="B706" s="8"/>
      <c r="C706" s="7" t="s">
        <v>170</v>
      </c>
      <c r="D706" s="7"/>
      <c r="E706" s="6" t="s">
        <v>169</v>
      </c>
      <c r="F706" s="9">
        <f>SUM(F707)</f>
        <v>913.5</v>
      </c>
      <c r="G706" s="9">
        <f t="shared" ref="G706:H706" si="291">SUM(G707)</f>
        <v>913.5</v>
      </c>
      <c r="H706" s="9">
        <f t="shared" si="291"/>
        <v>250</v>
      </c>
      <c r="I706" s="354">
        <f t="shared" si="285"/>
        <v>27.367268746579093</v>
      </c>
    </row>
    <row r="707" spans="1:9" x14ac:dyDescent="0.3">
      <c r="A707" s="8"/>
      <c r="B707" s="8"/>
      <c r="C707" s="7"/>
      <c r="D707" s="7" t="s">
        <v>79</v>
      </c>
      <c r="E707" s="6" t="s">
        <v>78</v>
      </c>
      <c r="F707" s="9">
        <v>913.5</v>
      </c>
      <c r="G707" s="9">
        <v>913.5</v>
      </c>
      <c r="H707" s="9">
        <v>250</v>
      </c>
      <c r="I707" s="354">
        <f t="shared" si="285"/>
        <v>27.367268746579093</v>
      </c>
    </row>
    <row r="708" spans="1:9" ht="36.75" customHeight="1" x14ac:dyDescent="0.3">
      <c r="A708" s="8"/>
      <c r="B708" s="8"/>
      <c r="C708" s="7" t="s">
        <v>81</v>
      </c>
      <c r="D708" s="7"/>
      <c r="E708" s="6" t="s">
        <v>168</v>
      </c>
      <c r="F708" s="9">
        <f>F709+F710</f>
        <v>14579.271000000001</v>
      </c>
      <c r="G708" s="9">
        <f t="shared" ref="G708:H708" si="292">G709+G710</f>
        <v>15181.471</v>
      </c>
      <c r="H708" s="9">
        <f t="shared" si="292"/>
        <v>15181.471</v>
      </c>
      <c r="I708" s="354">
        <f t="shared" si="285"/>
        <v>100</v>
      </c>
    </row>
    <row r="709" spans="1:9" x14ac:dyDescent="0.3">
      <c r="A709" s="8"/>
      <c r="B709" s="8"/>
      <c r="C709" s="7"/>
      <c r="D709" s="7" t="s">
        <v>79</v>
      </c>
      <c r="E709" s="6" t="s">
        <v>78</v>
      </c>
      <c r="F709" s="9">
        <v>6854.4</v>
      </c>
      <c r="G709" s="9">
        <v>7198</v>
      </c>
      <c r="H709" s="9">
        <v>7198</v>
      </c>
      <c r="I709" s="354">
        <f t="shared" si="285"/>
        <v>100</v>
      </c>
    </row>
    <row r="710" spans="1:9" ht="27" x14ac:dyDescent="0.3">
      <c r="A710" s="8"/>
      <c r="B710" s="8"/>
      <c r="C710" s="7"/>
      <c r="D710" s="7" t="s">
        <v>57</v>
      </c>
      <c r="E710" s="6" t="s">
        <v>56</v>
      </c>
      <c r="F710" s="9">
        <v>7724.8710000000001</v>
      </c>
      <c r="G710" s="9">
        <v>7983.4709999999995</v>
      </c>
      <c r="H710" s="9">
        <v>7983.4709999999995</v>
      </c>
      <c r="I710" s="354">
        <f t="shared" si="285"/>
        <v>100</v>
      </c>
    </row>
    <row r="711" spans="1:9" x14ac:dyDescent="0.3">
      <c r="A711" s="21"/>
      <c r="B711" s="23">
        <v>1004</v>
      </c>
      <c r="C711" s="22"/>
      <c r="D711" s="21"/>
      <c r="E711" s="20" t="s">
        <v>167</v>
      </c>
      <c r="F711" s="27">
        <f t="shared" ref="F711:H716" si="293">F712</f>
        <v>4574.3</v>
      </c>
      <c r="G711" s="27">
        <f t="shared" si="293"/>
        <v>4574.3</v>
      </c>
      <c r="H711" s="27">
        <f t="shared" si="293"/>
        <v>3876.6</v>
      </c>
      <c r="I711" s="358">
        <f t="shared" si="285"/>
        <v>84.747393043744395</v>
      </c>
    </row>
    <row r="712" spans="1:9" x14ac:dyDescent="0.3">
      <c r="A712" s="21"/>
      <c r="B712" s="23"/>
      <c r="C712" s="22" t="s">
        <v>36</v>
      </c>
      <c r="D712" s="23"/>
      <c r="E712" s="56" t="s">
        <v>166</v>
      </c>
      <c r="F712" s="27">
        <f t="shared" si="293"/>
        <v>4574.3</v>
      </c>
      <c r="G712" s="27">
        <f t="shared" si="293"/>
        <v>4574.3</v>
      </c>
      <c r="H712" s="27">
        <f t="shared" si="293"/>
        <v>3876.6</v>
      </c>
      <c r="I712" s="358">
        <f t="shared" si="285"/>
        <v>84.747393043744395</v>
      </c>
    </row>
    <row r="713" spans="1:9" ht="26.4" x14ac:dyDescent="0.3">
      <c r="A713" s="54"/>
      <c r="B713" s="34"/>
      <c r="C713" s="35" t="s">
        <v>87</v>
      </c>
      <c r="D713" s="34"/>
      <c r="E713" s="33" t="s">
        <v>86</v>
      </c>
      <c r="F713" s="32">
        <f t="shared" si="293"/>
        <v>4574.3</v>
      </c>
      <c r="G713" s="32">
        <f t="shared" si="293"/>
        <v>4574.3</v>
      </c>
      <c r="H713" s="32">
        <f t="shared" si="293"/>
        <v>3876.6</v>
      </c>
      <c r="I713" s="351">
        <f t="shared" si="285"/>
        <v>84.747393043744395</v>
      </c>
    </row>
    <row r="714" spans="1:9" x14ac:dyDescent="0.3">
      <c r="A714" s="70"/>
      <c r="B714" s="68"/>
      <c r="C714" s="69" t="s">
        <v>165</v>
      </c>
      <c r="D714" s="68"/>
      <c r="E714" s="67" t="s">
        <v>164</v>
      </c>
      <c r="F714" s="66">
        <f t="shared" si="293"/>
        <v>4574.3</v>
      </c>
      <c r="G714" s="66">
        <f t="shared" si="293"/>
        <v>4574.3</v>
      </c>
      <c r="H714" s="66">
        <f t="shared" si="293"/>
        <v>3876.6</v>
      </c>
      <c r="I714" s="363">
        <f t="shared" si="285"/>
        <v>84.747393043744395</v>
      </c>
    </row>
    <row r="715" spans="1:9" ht="27" x14ac:dyDescent="0.3">
      <c r="A715" s="190"/>
      <c r="B715" s="190"/>
      <c r="C715" s="190" t="s">
        <v>163</v>
      </c>
      <c r="D715" s="190"/>
      <c r="E715" s="191" t="s">
        <v>162</v>
      </c>
      <c r="F715" s="192">
        <f t="shared" si="293"/>
        <v>4574.3</v>
      </c>
      <c r="G715" s="192">
        <f t="shared" si="293"/>
        <v>4574.3</v>
      </c>
      <c r="H715" s="192">
        <f t="shared" si="293"/>
        <v>3876.6</v>
      </c>
      <c r="I715" s="353">
        <f t="shared" si="285"/>
        <v>84.747393043744395</v>
      </c>
    </row>
    <row r="716" spans="1:9" ht="40.200000000000003" x14ac:dyDescent="0.3">
      <c r="A716" s="8"/>
      <c r="B716" s="8"/>
      <c r="C716" s="7" t="s">
        <v>161</v>
      </c>
      <c r="D716" s="7"/>
      <c r="E716" s="6" t="s">
        <v>9</v>
      </c>
      <c r="F716" s="9">
        <f t="shared" si="293"/>
        <v>4574.3</v>
      </c>
      <c r="G716" s="9">
        <f t="shared" si="293"/>
        <v>4574.3</v>
      </c>
      <c r="H716" s="9">
        <f t="shared" si="293"/>
        <v>3876.6</v>
      </c>
      <c r="I716" s="354">
        <f t="shared" si="285"/>
        <v>84.747393043744395</v>
      </c>
    </row>
    <row r="717" spans="1:9" ht="27" x14ac:dyDescent="0.3">
      <c r="A717" s="8"/>
      <c r="B717" s="8"/>
      <c r="C717" s="7"/>
      <c r="D717" s="7" t="s">
        <v>57</v>
      </c>
      <c r="E717" s="6" t="s">
        <v>56</v>
      </c>
      <c r="F717" s="9">
        <v>4574.3</v>
      </c>
      <c r="G717" s="9">
        <v>4574.3</v>
      </c>
      <c r="H717" s="9">
        <v>3876.6</v>
      </c>
      <c r="I717" s="354">
        <f t="shared" si="285"/>
        <v>84.747393043744395</v>
      </c>
    </row>
    <row r="718" spans="1:9" x14ac:dyDescent="0.3">
      <c r="A718" s="37"/>
      <c r="B718" s="23">
        <v>1100</v>
      </c>
      <c r="C718" s="22"/>
      <c r="D718" s="21"/>
      <c r="E718" s="20" t="s">
        <v>76</v>
      </c>
      <c r="F718" s="27">
        <f t="shared" ref="F718:H720" si="294">F719</f>
        <v>2261.3541</v>
      </c>
      <c r="G718" s="27">
        <f t="shared" si="294"/>
        <v>6761.3541000000005</v>
      </c>
      <c r="H718" s="27">
        <f t="shared" si="294"/>
        <v>6761.3541000000005</v>
      </c>
      <c r="I718" s="358">
        <f t="shared" si="285"/>
        <v>100</v>
      </c>
    </row>
    <row r="719" spans="1:9" x14ac:dyDescent="0.3">
      <c r="A719" s="37"/>
      <c r="B719" s="23" t="s">
        <v>75</v>
      </c>
      <c r="C719" s="22"/>
      <c r="D719" s="23"/>
      <c r="E719" s="28" t="s">
        <v>74</v>
      </c>
      <c r="F719" s="27">
        <f t="shared" si="294"/>
        <v>2261.3541</v>
      </c>
      <c r="G719" s="27">
        <f t="shared" si="294"/>
        <v>6761.3541000000005</v>
      </c>
      <c r="H719" s="27">
        <f t="shared" si="294"/>
        <v>6761.3541000000005</v>
      </c>
      <c r="I719" s="358">
        <f t="shared" si="285"/>
        <v>100</v>
      </c>
    </row>
    <row r="720" spans="1:9" x14ac:dyDescent="0.3">
      <c r="A720" s="37"/>
      <c r="B720" s="23"/>
      <c r="C720" s="22" t="s">
        <v>36</v>
      </c>
      <c r="D720" s="23"/>
      <c r="E720" s="28" t="s">
        <v>35</v>
      </c>
      <c r="F720" s="27">
        <f t="shared" si="294"/>
        <v>2261.3541</v>
      </c>
      <c r="G720" s="27">
        <f t="shared" si="294"/>
        <v>6761.3541000000005</v>
      </c>
      <c r="H720" s="27">
        <f t="shared" si="294"/>
        <v>6761.3541000000005</v>
      </c>
      <c r="I720" s="358">
        <f t="shared" si="285"/>
        <v>100</v>
      </c>
    </row>
    <row r="721" spans="1:9" ht="26.4" x14ac:dyDescent="0.3">
      <c r="A721" s="54"/>
      <c r="B721" s="34"/>
      <c r="C721" s="35" t="s">
        <v>73</v>
      </c>
      <c r="D721" s="34"/>
      <c r="E721" s="33" t="s">
        <v>72</v>
      </c>
      <c r="F721" s="32">
        <f>F722+F731</f>
        <v>2261.3541</v>
      </c>
      <c r="G721" s="32">
        <f t="shared" ref="G721:H721" si="295">G722+G731</f>
        <v>6761.3541000000005</v>
      </c>
      <c r="H721" s="32">
        <f t="shared" si="295"/>
        <v>6761.3541000000005</v>
      </c>
      <c r="I721" s="351">
        <f t="shared" si="285"/>
        <v>100</v>
      </c>
    </row>
    <row r="722" spans="1:9" ht="27" x14ac:dyDescent="0.3">
      <c r="A722" s="190"/>
      <c r="B722" s="190"/>
      <c r="C722" s="190" t="s">
        <v>71</v>
      </c>
      <c r="D722" s="190"/>
      <c r="E722" s="191" t="s">
        <v>160</v>
      </c>
      <c r="F722" s="192">
        <f>F723+F725++F729</f>
        <v>2261.3541</v>
      </c>
      <c r="G722" s="192">
        <f t="shared" ref="G722:H722" si="296">G723+G725++G729</f>
        <v>2761.3541</v>
      </c>
      <c r="H722" s="192">
        <f t="shared" si="296"/>
        <v>2761.3541</v>
      </c>
      <c r="I722" s="353">
        <f t="shared" si="285"/>
        <v>100</v>
      </c>
    </row>
    <row r="723" spans="1:9" ht="40.200000000000003" x14ac:dyDescent="0.3">
      <c r="A723" s="8"/>
      <c r="B723" s="8"/>
      <c r="C723" s="7" t="s">
        <v>69</v>
      </c>
      <c r="D723" s="7"/>
      <c r="E723" s="6" t="s">
        <v>68</v>
      </c>
      <c r="F723" s="9">
        <f>F724</f>
        <v>1601.6</v>
      </c>
      <c r="G723" s="9">
        <f t="shared" ref="G723:H723" si="297">G724</f>
        <v>1601.6</v>
      </c>
      <c r="H723" s="9">
        <f t="shared" si="297"/>
        <v>1601.6</v>
      </c>
      <c r="I723" s="354">
        <f t="shared" si="285"/>
        <v>100</v>
      </c>
    </row>
    <row r="724" spans="1:9" ht="27" x14ac:dyDescent="0.3">
      <c r="A724" s="8"/>
      <c r="B724" s="8"/>
      <c r="C724" s="7"/>
      <c r="D724" s="7" t="s">
        <v>57</v>
      </c>
      <c r="E724" s="6" t="s">
        <v>56</v>
      </c>
      <c r="F724" s="9">
        <f>1558+43.6</f>
        <v>1601.6</v>
      </c>
      <c r="G724" s="9">
        <f t="shared" ref="G724:H724" si="298">1558+43.6</f>
        <v>1601.6</v>
      </c>
      <c r="H724" s="9">
        <f t="shared" si="298"/>
        <v>1601.6</v>
      </c>
      <c r="I724" s="354">
        <f t="shared" si="285"/>
        <v>100</v>
      </c>
    </row>
    <row r="725" spans="1:9" x14ac:dyDescent="0.3">
      <c r="A725" s="8"/>
      <c r="B725" s="8"/>
      <c r="C725" s="7" t="s">
        <v>159</v>
      </c>
      <c r="D725" s="7"/>
      <c r="E725" s="6" t="s">
        <v>158</v>
      </c>
      <c r="F725" s="9">
        <f t="shared" ref="F725:H725" si="299">F726</f>
        <v>299.2</v>
      </c>
      <c r="G725" s="9">
        <f t="shared" si="299"/>
        <v>799.2</v>
      </c>
      <c r="H725" s="9">
        <f t="shared" si="299"/>
        <v>799.2</v>
      </c>
      <c r="I725" s="354">
        <f t="shared" si="285"/>
        <v>100</v>
      </c>
    </row>
    <row r="726" spans="1:9" ht="27" x14ac:dyDescent="0.3">
      <c r="A726" s="8"/>
      <c r="B726" s="8"/>
      <c r="C726" s="7"/>
      <c r="D726" s="7" t="s">
        <v>57</v>
      </c>
      <c r="E726" s="6" t="s">
        <v>56</v>
      </c>
      <c r="F726" s="9">
        <f>F728</f>
        <v>299.2</v>
      </c>
      <c r="G726" s="9">
        <f>G728+G727</f>
        <v>799.2</v>
      </c>
      <c r="H726" s="9">
        <f>H728+H727</f>
        <v>799.2</v>
      </c>
      <c r="I726" s="354">
        <f t="shared" si="285"/>
        <v>100</v>
      </c>
    </row>
    <row r="727" spans="1:9" x14ac:dyDescent="0.3">
      <c r="A727" s="343"/>
      <c r="B727" s="343"/>
      <c r="C727" s="342"/>
      <c r="D727" s="342"/>
      <c r="E727" s="6" t="s">
        <v>879</v>
      </c>
      <c r="F727" s="344"/>
      <c r="G727" s="344">
        <v>500</v>
      </c>
      <c r="H727" s="344">
        <v>500</v>
      </c>
      <c r="I727" s="354">
        <f t="shared" si="285"/>
        <v>100</v>
      </c>
    </row>
    <row r="728" spans="1:9" x14ac:dyDescent="0.3">
      <c r="A728" s="8"/>
      <c r="B728" s="8"/>
      <c r="C728" s="7"/>
      <c r="D728" s="7"/>
      <c r="E728" s="10" t="s">
        <v>106</v>
      </c>
      <c r="F728" s="9">
        <v>299.2</v>
      </c>
      <c r="G728" s="9">
        <v>299.2</v>
      </c>
      <c r="H728" s="9">
        <v>299.2</v>
      </c>
      <c r="I728" s="354">
        <f t="shared" si="285"/>
        <v>100</v>
      </c>
    </row>
    <row r="729" spans="1:9" x14ac:dyDescent="0.3">
      <c r="A729" s="8"/>
      <c r="B729" s="8"/>
      <c r="C729" s="7" t="s">
        <v>755</v>
      </c>
      <c r="D729" s="7"/>
      <c r="E729" s="10" t="s">
        <v>756</v>
      </c>
      <c r="F729" s="9">
        <f>F730</f>
        <v>360.55410000000001</v>
      </c>
      <c r="G729" s="9">
        <f t="shared" ref="G729:H729" si="300">G730</f>
        <v>360.55410000000001</v>
      </c>
      <c r="H729" s="9">
        <f t="shared" si="300"/>
        <v>360.55410000000001</v>
      </c>
      <c r="I729" s="354">
        <f t="shared" si="285"/>
        <v>100</v>
      </c>
    </row>
    <row r="730" spans="1:9" ht="27" x14ac:dyDescent="0.3">
      <c r="A730" s="8"/>
      <c r="B730" s="8"/>
      <c r="C730" s="7"/>
      <c r="D730" s="7" t="s">
        <v>57</v>
      </c>
      <c r="E730" s="6" t="s">
        <v>56</v>
      </c>
      <c r="F730" s="9">
        <v>360.55410000000001</v>
      </c>
      <c r="G730" s="9">
        <v>360.55410000000001</v>
      </c>
      <c r="H730" s="9">
        <v>360.55410000000001</v>
      </c>
      <c r="I730" s="354">
        <f t="shared" si="285"/>
        <v>100</v>
      </c>
    </row>
    <row r="731" spans="1:9" ht="40.200000000000003" x14ac:dyDescent="0.3">
      <c r="A731" s="190"/>
      <c r="B731" s="190"/>
      <c r="C731" s="413" t="s">
        <v>880</v>
      </c>
      <c r="D731" s="413"/>
      <c r="E731" s="414" t="s">
        <v>881</v>
      </c>
      <c r="F731" s="415">
        <f t="shared" ref="F731:H732" si="301">F732</f>
        <v>0</v>
      </c>
      <c r="G731" s="415">
        <f t="shared" si="301"/>
        <v>4000</v>
      </c>
      <c r="H731" s="415">
        <f t="shared" si="301"/>
        <v>4000</v>
      </c>
      <c r="I731" s="416">
        <f t="shared" si="285"/>
        <v>100</v>
      </c>
    </row>
    <row r="732" spans="1:9" ht="30.75" customHeight="1" x14ac:dyDescent="0.3">
      <c r="A732" s="8"/>
      <c r="B732" s="8"/>
      <c r="C732" s="342" t="s">
        <v>883</v>
      </c>
      <c r="D732" s="342"/>
      <c r="E732" s="391" t="s">
        <v>882</v>
      </c>
      <c r="F732" s="344">
        <f t="shared" si="301"/>
        <v>0</v>
      </c>
      <c r="G732" s="344">
        <f t="shared" si="301"/>
        <v>4000</v>
      </c>
      <c r="H732" s="344">
        <f t="shared" si="301"/>
        <v>4000</v>
      </c>
      <c r="I732" s="357">
        <f t="shared" si="285"/>
        <v>100</v>
      </c>
    </row>
    <row r="733" spans="1:9" ht="27" x14ac:dyDescent="0.3">
      <c r="A733" s="8"/>
      <c r="B733" s="8"/>
      <c r="C733" s="342"/>
      <c r="D733" s="342" t="s">
        <v>57</v>
      </c>
      <c r="E733" s="391" t="s">
        <v>56</v>
      </c>
      <c r="F733" s="344">
        <f>F734+F735</f>
        <v>0</v>
      </c>
      <c r="G733" s="344">
        <f>G734+G735</f>
        <v>4000</v>
      </c>
      <c r="H733" s="344">
        <f>H734+H735</f>
        <v>4000</v>
      </c>
      <c r="I733" s="357">
        <f t="shared" si="285"/>
        <v>100</v>
      </c>
    </row>
    <row r="734" spans="1:9" x14ac:dyDescent="0.3">
      <c r="A734" s="8"/>
      <c r="B734" s="8"/>
      <c r="C734" s="342"/>
      <c r="D734" s="342"/>
      <c r="E734" s="391" t="s">
        <v>157</v>
      </c>
      <c r="F734" s="392">
        <v>0</v>
      </c>
      <c r="G734" s="392">
        <v>3000</v>
      </c>
      <c r="H734" s="392">
        <v>3000</v>
      </c>
      <c r="I734" s="393">
        <f t="shared" si="285"/>
        <v>100</v>
      </c>
    </row>
    <row r="735" spans="1:9" x14ac:dyDescent="0.3">
      <c r="A735" s="8"/>
      <c r="B735" s="8"/>
      <c r="C735" s="342"/>
      <c r="D735" s="342"/>
      <c r="E735" s="391" t="s">
        <v>156</v>
      </c>
      <c r="F735" s="344">
        <v>0</v>
      </c>
      <c r="G735" s="344">
        <v>1000</v>
      </c>
      <c r="H735" s="344">
        <v>1000</v>
      </c>
      <c r="I735" s="357">
        <f t="shared" si="285"/>
        <v>100</v>
      </c>
    </row>
    <row r="736" spans="1:9" ht="26.4" x14ac:dyDescent="0.3">
      <c r="A736" s="40">
        <v>621</v>
      </c>
      <c r="B736" s="42"/>
      <c r="C736" s="41"/>
      <c r="D736" s="40"/>
      <c r="E736" s="39" t="s">
        <v>155</v>
      </c>
      <c r="F736" s="38">
        <f>F745+F775+F837+F846+F853</f>
        <v>109409.85003</v>
      </c>
      <c r="G736" s="38">
        <f>G745+G775+G837+G846+G853+G737</f>
        <v>111615.67372000002</v>
      </c>
      <c r="H736" s="38">
        <f>H745+H775+H837+H846+H853+H737</f>
        <v>111615.66302000001</v>
      </c>
      <c r="I736" s="349">
        <f t="shared" si="285"/>
        <v>99.999990413532743</v>
      </c>
    </row>
    <row r="737" spans="1:9" x14ac:dyDescent="0.3">
      <c r="A737" s="418"/>
      <c r="B737" s="394" t="s">
        <v>363</v>
      </c>
      <c r="C737" s="419"/>
      <c r="D737" s="418"/>
      <c r="E737" s="420" t="s">
        <v>362</v>
      </c>
      <c r="F737" s="421">
        <v>0</v>
      </c>
      <c r="G737" s="421">
        <f t="shared" ref="G737:H740" si="302">G738</f>
        <v>424.74709000000001</v>
      </c>
      <c r="H737" s="421">
        <f t="shared" si="302"/>
        <v>424.74709000000001</v>
      </c>
      <c r="I737" s="436">
        <v>100</v>
      </c>
    </row>
    <row r="738" spans="1:9" x14ac:dyDescent="0.3">
      <c r="A738" s="418"/>
      <c r="B738" s="394" t="s">
        <v>349</v>
      </c>
      <c r="C738" s="419"/>
      <c r="D738" s="418"/>
      <c r="E738" s="420" t="s">
        <v>348</v>
      </c>
      <c r="F738" s="421">
        <v>0</v>
      </c>
      <c r="G738" s="421">
        <f t="shared" si="302"/>
        <v>424.74709000000001</v>
      </c>
      <c r="H738" s="421">
        <f>H739</f>
        <v>424.74709000000001</v>
      </c>
      <c r="I738" s="436">
        <v>100</v>
      </c>
    </row>
    <row r="739" spans="1:9" x14ac:dyDescent="0.3">
      <c r="A739" s="418"/>
      <c r="B739" s="405"/>
      <c r="C739" s="419" t="s">
        <v>36</v>
      </c>
      <c r="D739" s="418"/>
      <c r="E739" s="422" t="s">
        <v>35</v>
      </c>
      <c r="F739" s="421">
        <v>0</v>
      </c>
      <c r="G739" s="421">
        <f t="shared" si="302"/>
        <v>424.74709000000001</v>
      </c>
      <c r="H739" s="421">
        <f t="shared" si="302"/>
        <v>424.74709000000001</v>
      </c>
      <c r="I739" s="436">
        <v>100</v>
      </c>
    </row>
    <row r="740" spans="1:9" ht="26.4" x14ac:dyDescent="0.3">
      <c r="A740" s="423"/>
      <c r="B740" s="424"/>
      <c r="C740" s="425" t="s">
        <v>293</v>
      </c>
      <c r="D740" s="424"/>
      <c r="E740" s="426" t="s">
        <v>292</v>
      </c>
      <c r="F740" s="427">
        <v>0</v>
      </c>
      <c r="G740" s="427">
        <f>G741</f>
        <v>424.74709000000001</v>
      </c>
      <c r="H740" s="427">
        <f t="shared" si="302"/>
        <v>424.74709000000001</v>
      </c>
      <c r="I740" s="444">
        <v>100</v>
      </c>
    </row>
    <row r="741" spans="1:9" ht="27" x14ac:dyDescent="0.3">
      <c r="A741" s="428"/>
      <c r="B741" s="428"/>
      <c r="C741" s="428" t="s">
        <v>345</v>
      </c>
      <c r="D741" s="428"/>
      <c r="E741" s="429" t="s">
        <v>344</v>
      </c>
      <c r="F741" s="430">
        <v>0</v>
      </c>
      <c r="G741" s="430">
        <f t="shared" ref="G741:H742" si="303">G742</f>
        <v>424.74709000000001</v>
      </c>
      <c r="H741" s="430">
        <f t="shared" si="303"/>
        <v>424.74709000000001</v>
      </c>
      <c r="I741" s="439">
        <v>100</v>
      </c>
    </row>
    <row r="742" spans="1:9" ht="27" x14ac:dyDescent="0.3">
      <c r="A742" s="413"/>
      <c r="B742" s="413"/>
      <c r="C742" s="413" t="s">
        <v>343</v>
      </c>
      <c r="D742" s="413"/>
      <c r="E742" s="431" t="s">
        <v>342</v>
      </c>
      <c r="F742" s="415">
        <v>0</v>
      </c>
      <c r="G742" s="415">
        <f>G743</f>
        <v>424.74709000000001</v>
      </c>
      <c r="H742" s="415">
        <f t="shared" si="303"/>
        <v>424.74709000000001</v>
      </c>
      <c r="I742" s="416">
        <v>100</v>
      </c>
    </row>
    <row r="743" spans="1:9" x14ac:dyDescent="0.3">
      <c r="A743" s="342"/>
      <c r="B743" s="342"/>
      <c r="C743" s="342" t="s">
        <v>686</v>
      </c>
      <c r="D743" s="395"/>
      <c r="E743" s="432" t="s">
        <v>332</v>
      </c>
      <c r="F743" s="344">
        <v>0</v>
      </c>
      <c r="G743" s="344">
        <f>G744</f>
        <v>424.74709000000001</v>
      </c>
      <c r="H743" s="344">
        <f>H744</f>
        <v>424.74709000000001</v>
      </c>
      <c r="I743" s="357">
        <v>100</v>
      </c>
    </row>
    <row r="744" spans="1:9" x14ac:dyDescent="0.3">
      <c r="A744" s="342"/>
      <c r="B744" s="342"/>
      <c r="C744" s="342"/>
      <c r="D744" s="342" t="s">
        <v>57</v>
      </c>
      <c r="E744" s="391" t="s">
        <v>11</v>
      </c>
      <c r="F744" s="344">
        <v>0</v>
      </c>
      <c r="G744" s="344">
        <v>424.74709000000001</v>
      </c>
      <c r="H744" s="344">
        <v>424.74709000000001</v>
      </c>
      <c r="I744" s="357">
        <v>100</v>
      </c>
    </row>
    <row r="745" spans="1:9" x14ac:dyDescent="0.3">
      <c r="A745" s="65"/>
      <c r="B745" s="23" t="s">
        <v>154</v>
      </c>
      <c r="C745" s="22"/>
      <c r="D745" s="21"/>
      <c r="E745" s="20" t="s">
        <v>153</v>
      </c>
      <c r="F745" s="27">
        <f>F746+F757+F764</f>
        <v>23499.1</v>
      </c>
      <c r="G745" s="27">
        <f>G746+G757+G764</f>
        <v>23517</v>
      </c>
      <c r="H745" s="27">
        <f>H746+H757+H764</f>
        <v>23517</v>
      </c>
      <c r="I745" s="358">
        <f t="shared" si="285"/>
        <v>100</v>
      </c>
    </row>
    <row r="746" spans="1:9" x14ac:dyDescent="0.3">
      <c r="A746" s="65"/>
      <c r="B746" s="23" t="s">
        <v>152</v>
      </c>
      <c r="C746" s="22"/>
      <c r="D746" s="21"/>
      <c r="E746" s="20" t="s">
        <v>151</v>
      </c>
      <c r="F746" s="27">
        <f>F747+F753</f>
        <v>23058.5</v>
      </c>
      <c r="G746" s="27">
        <f t="shared" ref="G746:H746" si="304">G747+G753</f>
        <v>23058.5</v>
      </c>
      <c r="H746" s="27">
        <f t="shared" si="304"/>
        <v>23058.5</v>
      </c>
      <c r="I746" s="358">
        <f t="shared" si="285"/>
        <v>100</v>
      </c>
    </row>
    <row r="747" spans="1:9" x14ac:dyDescent="0.3">
      <c r="A747" s="65"/>
      <c r="B747" s="23"/>
      <c r="C747" s="22" t="s">
        <v>36</v>
      </c>
      <c r="D747" s="23"/>
      <c r="E747" s="28" t="s">
        <v>35</v>
      </c>
      <c r="F747" s="27">
        <f t="shared" ref="F747:H751" si="305">F748</f>
        <v>22821.8</v>
      </c>
      <c r="G747" s="27">
        <f t="shared" si="305"/>
        <v>22821.8</v>
      </c>
      <c r="H747" s="27">
        <f t="shared" si="305"/>
        <v>22821.8</v>
      </c>
      <c r="I747" s="358">
        <f t="shared" si="285"/>
        <v>100</v>
      </c>
    </row>
    <row r="748" spans="1:9" ht="26.4" x14ac:dyDescent="0.3">
      <c r="A748" s="54"/>
      <c r="B748" s="34"/>
      <c r="C748" s="35" t="s">
        <v>65</v>
      </c>
      <c r="D748" s="34"/>
      <c r="E748" s="33" t="s">
        <v>64</v>
      </c>
      <c r="F748" s="32">
        <f t="shared" si="305"/>
        <v>22821.8</v>
      </c>
      <c r="G748" s="32">
        <f t="shared" si="305"/>
        <v>22821.8</v>
      </c>
      <c r="H748" s="32">
        <f t="shared" si="305"/>
        <v>22821.8</v>
      </c>
      <c r="I748" s="351">
        <f t="shared" si="285"/>
        <v>100</v>
      </c>
    </row>
    <row r="749" spans="1:9" ht="27" x14ac:dyDescent="0.3">
      <c r="A749" s="31"/>
      <c r="B749" s="31"/>
      <c r="C749" s="31" t="s">
        <v>101</v>
      </c>
      <c r="D749" s="31"/>
      <c r="E749" s="52" t="s">
        <v>100</v>
      </c>
      <c r="F749" s="29">
        <f t="shared" si="305"/>
        <v>22821.8</v>
      </c>
      <c r="G749" s="29">
        <f t="shared" si="305"/>
        <v>22821.8</v>
      </c>
      <c r="H749" s="29">
        <f t="shared" si="305"/>
        <v>22821.8</v>
      </c>
      <c r="I749" s="352">
        <f t="shared" si="285"/>
        <v>100</v>
      </c>
    </row>
    <row r="750" spans="1:9" ht="27" x14ac:dyDescent="0.3">
      <c r="A750" s="190"/>
      <c r="B750" s="190"/>
      <c r="C750" s="190" t="s">
        <v>150</v>
      </c>
      <c r="D750" s="190"/>
      <c r="E750" s="191" t="s">
        <v>149</v>
      </c>
      <c r="F750" s="192">
        <f t="shared" si="305"/>
        <v>22821.8</v>
      </c>
      <c r="G750" s="192">
        <f t="shared" si="305"/>
        <v>22821.8</v>
      </c>
      <c r="H750" s="192">
        <f t="shared" si="305"/>
        <v>22821.8</v>
      </c>
      <c r="I750" s="353">
        <f t="shared" si="285"/>
        <v>100</v>
      </c>
    </row>
    <row r="751" spans="1:9" x14ac:dyDescent="0.3">
      <c r="A751" s="8"/>
      <c r="B751" s="8"/>
      <c r="C751" s="7" t="s">
        <v>148</v>
      </c>
      <c r="D751" s="7"/>
      <c r="E751" s="64" t="s">
        <v>147</v>
      </c>
      <c r="F751" s="9">
        <f t="shared" si="305"/>
        <v>22821.8</v>
      </c>
      <c r="G751" s="9">
        <f t="shared" si="305"/>
        <v>22821.8</v>
      </c>
      <c r="H751" s="9">
        <f t="shared" si="305"/>
        <v>22821.8</v>
      </c>
      <c r="I751" s="354">
        <f t="shared" si="285"/>
        <v>100</v>
      </c>
    </row>
    <row r="752" spans="1:9" ht="27" x14ac:dyDescent="0.3">
      <c r="A752" s="8"/>
      <c r="B752" s="8"/>
      <c r="C752" s="7"/>
      <c r="D752" s="7" t="s">
        <v>57</v>
      </c>
      <c r="E752" s="6" t="s">
        <v>56</v>
      </c>
      <c r="F752" s="9">
        <f>22356.6+465.2</f>
        <v>22821.8</v>
      </c>
      <c r="G752" s="9">
        <f t="shared" ref="G752:H752" si="306">22356.6+465.2</f>
        <v>22821.8</v>
      </c>
      <c r="H752" s="9">
        <f t="shared" si="306"/>
        <v>22821.8</v>
      </c>
      <c r="I752" s="354">
        <f t="shared" si="285"/>
        <v>100</v>
      </c>
    </row>
    <row r="753" spans="1:9" x14ac:dyDescent="0.3">
      <c r="A753" s="18"/>
      <c r="B753" s="18"/>
      <c r="C753" s="18" t="s">
        <v>18</v>
      </c>
      <c r="D753" s="18"/>
      <c r="E753" s="17" t="s">
        <v>17</v>
      </c>
      <c r="F753" s="16">
        <f t="shared" ref="F753:H755" si="307">F754</f>
        <v>236.7</v>
      </c>
      <c r="G753" s="16">
        <f t="shared" si="307"/>
        <v>236.7</v>
      </c>
      <c r="H753" s="16">
        <f t="shared" si="307"/>
        <v>236.7</v>
      </c>
      <c r="I753" s="366">
        <f t="shared" si="285"/>
        <v>100</v>
      </c>
    </row>
    <row r="754" spans="1:9" ht="27" x14ac:dyDescent="0.3">
      <c r="A754" s="15"/>
      <c r="B754" s="15"/>
      <c r="C754" s="15" t="s">
        <v>16</v>
      </c>
      <c r="D754" s="15"/>
      <c r="E754" s="14" t="s">
        <v>15</v>
      </c>
      <c r="F754" s="13">
        <f t="shared" si="307"/>
        <v>236.7</v>
      </c>
      <c r="G754" s="13">
        <f t="shared" si="307"/>
        <v>236.7</v>
      </c>
      <c r="H754" s="13">
        <f t="shared" si="307"/>
        <v>236.7</v>
      </c>
      <c r="I754" s="367">
        <f t="shared" si="285"/>
        <v>100</v>
      </c>
    </row>
    <row r="755" spans="1:9" x14ac:dyDescent="0.3">
      <c r="A755" s="8"/>
      <c r="B755" s="8"/>
      <c r="C755" s="55" t="s">
        <v>507</v>
      </c>
      <c r="D755" s="55"/>
      <c r="E755" s="10" t="s">
        <v>506</v>
      </c>
      <c r="F755" s="9">
        <f>F756</f>
        <v>236.7</v>
      </c>
      <c r="G755" s="9">
        <f t="shared" si="307"/>
        <v>236.7</v>
      </c>
      <c r="H755" s="9">
        <f t="shared" si="307"/>
        <v>236.7</v>
      </c>
      <c r="I755" s="354">
        <f t="shared" si="285"/>
        <v>100</v>
      </c>
    </row>
    <row r="756" spans="1:9" ht="27" x14ac:dyDescent="0.3">
      <c r="A756" s="8"/>
      <c r="B756" s="8"/>
      <c r="C756" s="55"/>
      <c r="D756" s="7" t="s">
        <v>57</v>
      </c>
      <c r="E756" s="6" t="s">
        <v>56</v>
      </c>
      <c r="F756" s="9">
        <f>0+236.7</f>
        <v>236.7</v>
      </c>
      <c r="G756" s="9">
        <f t="shared" ref="G756:H756" si="308">0+236.7</f>
        <v>236.7</v>
      </c>
      <c r="H756" s="9">
        <f t="shared" si="308"/>
        <v>236.7</v>
      </c>
      <c r="I756" s="354">
        <f t="shared" si="285"/>
        <v>100</v>
      </c>
    </row>
    <row r="757" spans="1:9" x14ac:dyDescent="0.3">
      <c r="A757" s="53"/>
      <c r="B757" s="23" t="s">
        <v>146</v>
      </c>
      <c r="C757" s="22"/>
      <c r="D757" s="23"/>
      <c r="E757" s="20" t="s">
        <v>145</v>
      </c>
      <c r="F757" s="27">
        <f t="shared" ref="F757:H761" si="309">F758</f>
        <v>298.5</v>
      </c>
      <c r="G757" s="27">
        <f t="shared" si="309"/>
        <v>298.5</v>
      </c>
      <c r="H757" s="27">
        <f t="shared" si="309"/>
        <v>298.5</v>
      </c>
      <c r="I757" s="358">
        <f t="shared" si="285"/>
        <v>100</v>
      </c>
    </row>
    <row r="758" spans="1:9" x14ac:dyDescent="0.3">
      <c r="A758" s="53"/>
      <c r="B758" s="23"/>
      <c r="C758" s="22" t="s">
        <v>36</v>
      </c>
      <c r="D758" s="23"/>
      <c r="E758" s="28" t="s">
        <v>35</v>
      </c>
      <c r="F758" s="27">
        <f t="shared" si="309"/>
        <v>298.5</v>
      </c>
      <c r="G758" s="27">
        <f t="shared" si="309"/>
        <v>298.5</v>
      </c>
      <c r="H758" s="27">
        <f t="shared" si="309"/>
        <v>298.5</v>
      </c>
      <c r="I758" s="358">
        <f t="shared" si="285"/>
        <v>100</v>
      </c>
    </row>
    <row r="759" spans="1:9" ht="26.4" x14ac:dyDescent="0.3">
      <c r="A759" s="54"/>
      <c r="B759" s="34"/>
      <c r="C759" s="35" t="s">
        <v>65</v>
      </c>
      <c r="D759" s="34"/>
      <c r="E759" s="33" t="s">
        <v>64</v>
      </c>
      <c r="F759" s="32">
        <f t="shared" si="309"/>
        <v>298.5</v>
      </c>
      <c r="G759" s="32">
        <f t="shared" si="309"/>
        <v>298.5</v>
      </c>
      <c r="H759" s="32">
        <f t="shared" si="309"/>
        <v>298.5</v>
      </c>
      <c r="I759" s="351">
        <f t="shared" si="285"/>
        <v>100</v>
      </c>
    </row>
    <row r="760" spans="1:9" x14ac:dyDescent="0.3">
      <c r="A760" s="31"/>
      <c r="B760" s="31"/>
      <c r="C760" s="31" t="s">
        <v>144</v>
      </c>
      <c r="D760" s="31"/>
      <c r="E760" s="52" t="s">
        <v>143</v>
      </c>
      <c r="F760" s="29">
        <f t="shared" si="309"/>
        <v>298.5</v>
      </c>
      <c r="G760" s="29">
        <f t="shared" si="309"/>
        <v>298.5</v>
      </c>
      <c r="H760" s="29">
        <f t="shared" si="309"/>
        <v>298.5</v>
      </c>
      <c r="I760" s="352">
        <f t="shared" si="285"/>
        <v>100</v>
      </c>
    </row>
    <row r="761" spans="1:9" x14ac:dyDescent="0.3">
      <c r="A761" s="190"/>
      <c r="B761" s="190"/>
      <c r="C761" s="190" t="s">
        <v>142</v>
      </c>
      <c r="D761" s="190"/>
      <c r="E761" s="191" t="s">
        <v>141</v>
      </c>
      <c r="F761" s="192">
        <f>F762</f>
        <v>298.5</v>
      </c>
      <c r="G761" s="192">
        <f t="shared" si="309"/>
        <v>298.5</v>
      </c>
      <c r="H761" s="192">
        <f t="shared" si="309"/>
        <v>298.5</v>
      </c>
      <c r="I761" s="353">
        <f t="shared" si="285"/>
        <v>100</v>
      </c>
    </row>
    <row r="762" spans="1:9" ht="66.599999999999994" x14ac:dyDescent="0.3">
      <c r="A762" s="8"/>
      <c r="B762" s="8"/>
      <c r="C762" s="7" t="s">
        <v>140</v>
      </c>
      <c r="D762" s="7"/>
      <c r="E762" s="6" t="s">
        <v>139</v>
      </c>
      <c r="F762" s="9">
        <f>F763</f>
        <v>298.5</v>
      </c>
      <c r="G762" s="9">
        <f t="shared" ref="G762:H762" si="310">G763</f>
        <v>298.5</v>
      </c>
      <c r="H762" s="9">
        <f t="shared" si="310"/>
        <v>298.5</v>
      </c>
      <c r="I762" s="354">
        <f t="shared" si="285"/>
        <v>100</v>
      </c>
    </row>
    <row r="763" spans="1:9" ht="27" x14ac:dyDescent="0.3">
      <c r="A763" s="8"/>
      <c r="B763" s="8"/>
      <c r="C763" s="7"/>
      <c r="D763" s="7" t="s">
        <v>57</v>
      </c>
      <c r="E763" s="6" t="s">
        <v>56</v>
      </c>
      <c r="F763" s="9">
        <v>298.5</v>
      </c>
      <c r="G763" s="9">
        <v>298.5</v>
      </c>
      <c r="H763" s="9">
        <v>298.5</v>
      </c>
      <c r="I763" s="354">
        <f t="shared" si="285"/>
        <v>100</v>
      </c>
    </row>
    <row r="764" spans="1:9" x14ac:dyDescent="0.3">
      <c r="A764" s="53"/>
      <c r="B764" s="23" t="s">
        <v>138</v>
      </c>
      <c r="C764" s="22"/>
      <c r="D764" s="23"/>
      <c r="E764" s="28" t="s">
        <v>137</v>
      </c>
      <c r="F764" s="27">
        <f t="shared" ref="F764:H769" si="311">F765</f>
        <v>142.1</v>
      </c>
      <c r="G764" s="27">
        <f t="shared" si="311"/>
        <v>160</v>
      </c>
      <c r="H764" s="27">
        <f t="shared" si="311"/>
        <v>160</v>
      </c>
      <c r="I764" s="358">
        <f t="shared" ref="I764:I833" si="312">H764/G764*100</f>
        <v>100</v>
      </c>
    </row>
    <row r="765" spans="1:9" x14ac:dyDescent="0.3">
      <c r="A765" s="53"/>
      <c r="B765" s="23"/>
      <c r="C765" s="22" t="s">
        <v>36</v>
      </c>
      <c r="D765" s="23"/>
      <c r="E765" s="28" t="s">
        <v>35</v>
      </c>
      <c r="F765" s="27">
        <f t="shared" si="311"/>
        <v>142.1</v>
      </c>
      <c r="G765" s="27">
        <f t="shared" si="311"/>
        <v>160</v>
      </c>
      <c r="H765" s="27">
        <f t="shared" si="311"/>
        <v>160</v>
      </c>
      <c r="I765" s="358">
        <f t="shared" si="312"/>
        <v>100</v>
      </c>
    </row>
    <row r="766" spans="1:9" ht="26.4" x14ac:dyDescent="0.3">
      <c r="A766" s="54"/>
      <c r="B766" s="34"/>
      <c r="C766" s="35" t="s">
        <v>87</v>
      </c>
      <c r="D766" s="34"/>
      <c r="E766" s="33" t="s">
        <v>86</v>
      </c>
      <c r="F766" s="32">
        <f t="shared" si="311"/>
        <v>142.1</v>
      </c>
      <c r="G766" s="32">
        <f>G767+G771</f>
        <v>160</v>
      </c>
      <c r="H766" s="32">
        <f>H767+H771</f>
        <v>160</v>
      </c>
      <c r="I766" s="351">
        <f t="shared" si="312"/>
        <v>100</v>
      </c>
    </row>
    <row r="767" spans="1:9" x14ac:dyDescent="0.3">
      <c r="A767" s="31"/>
      <c r="B767" s="31"/>
      <c r="C767" s="31" t="s">
        <v>136</v>
      </c>
      <c r="D767" s="31"/>
      <c r="E767" s="30" t="s">
        <v>135</v>
      </c>
      <c r="F767" s="29">
        <f t="shared" si="311"/>
        <v>142.1</v>
      </c>
      <c r="G767" s="29">
        <f t="shared" si="311"/>
        <v>150</v>
      </c>
      <c r="H767" s="29">
        <f t="shared" si="311"/>
        <v>150</v>
      </c>
      <c r="I767" s="352">
        <f t="shared" si="312"/>
        <v>100</v>
      </c>
    </row>
    <row r="768" spans="1:9" ht="27" customHeight="1" x14ac:dyDescent="0.3">
      <c r="A768" s="190"/>
      <c r="B768" s="190"/>
      <c r="C768" s="190" t="s">
        <v>134</v>
      </c>
      <c r="D768" s="190"/>
      <c r="E768" s="191" t="s">
        <v>133</v>
      </c>
      <c r="F768" s="192">
        <f t="shared" si="311"/>
        <v>142.1</v>
      </c>
      <c r="G768" s="192">
        <f t="shared" si="311"/>
        <v>150</v>
      </c>
      <c r="H768" s="192">
        <f t="shared" si="311"/>
        <v>150</v>
      </c>
      <c r="I768" s="353">
        <f t="shared" si="312"/>
        <v>100</v>
      </c>
    </row>
    <row r="769" spans="1:9" ht="27" x14ac:dyDescent="0.3">
      <c r="A769" s="8"/>
      <c r="B769" s="8"/>
      <c r="C769" s="7" t="s">
        <v>132</v>
      </c>
      <c r="D769" s="7"/>
      <c r="E769" s="6" t="s">
        <v>131</v>
      </c>
      <c r="F769" s="9">
        <f t="shared" si="311"/>
        <v>142.1</v>
      </c>
      <c r="G769" s="9">
        <f t="shared" si="311"/>
        <v>150</v>
      </c>
      <c r="H769" s="9">
        <f t="shared" si="311"/>
        <v>150</v>
      </c>
      <c r="I769" s="354">
        <f t="shared" si="312"/>
        <v>100</v>
      </c>
    </row>
    <row r="770" spans="1:9" ht="27" x14ac:dyDescent="0.3">
      <c r="A770" s="8"/>
      <c r="B770" s="8"/>
      <c r="C770" s="7"/>
      <c r="D770" s="7" t="s">
        <v>57</v>
      </c>
      <c r="E770" s="6" t="s">
        <v>56</v>
      </c>
      <c r="F770" s="9">
        <v>142.1</v>
      </c>
      <c r="G770" s="9">
        <v>150</v>
      </c>
      <c r="H770" s="9">
        <v>150</v>
      </c>
      <c r="I770" s="354">
        <f t="shared" si="312"/>
        <v>100</v>
      </c>
    </row>
    <row r="771" spans="1:9" ht="26.4" x14ac:dyDescent="0.3">
      <c r="A771" s="428"/>
      <c r="B771" s="428"/>
      <c r="C771" s="428" t="s">
        <v>874</v>
      </c>
      <c r="D771" s="428"/>
      <c r="E771" s="438" t="s">
        <v>875</v>
      </c>
      <c r="F771" s="430">
        <f t="shared" ref="F771:H772" si="313">F772</f>
        <v>0</v>
      </c>
      <c r="G771" s="430">
        <f t="shared" si="313"/>
        <v>10</v>
      </c>
      <c r="H771" s="430">
        <f t="shared" si="313"/>
        <v>10</v>
      </c>
      <c r="I771" s="439">
        <f t="shared" si="312"/>
        <v>100</v>
      </c>
    </row>
    <row r="772" spans="1:9" ht="27" x14ac:dyDescent="0.3">
      <c r="A772" s="440"/>
      <c r="B772" s="440"/>
      <c r="C772" s="440" t="s">
        <v>876</v>
      </c>
      <c r="D772" s="440"/>
      <c r="E772" s="441" t="s">
        <v>877</v>
      </c>
      <c r="F772" s="442">
        <f t="shared" si="313"/>
        <v>0</v>
      </c>
      <c r="G772" s="442">
        <f t="shared" si="313"/>
        <v>10</v>
      </c>
      <c r="H772" s="442">
        <f t="shared" si="313"/>
        <v>10</v>
      </c>
      <c r="I772" s="443">
        <f t="shared" si="312"/>
        <v>100</v>
      </c>
    </row>
    <row r="773" spans="1:9" ht="27" x14ac:dyDescent="0.3">
      <c r="A773" s="343"/>
      <c r="B773" s="343"/>
      <c r="C773" s="342" t="s">
        <v>878</v>
      </c>
      <c r="D773" s="342"/>
      <c r="E773" s="391" t="s">
        <v>877</v>
      </c>
      <c r="F773" s="344">
        <v>0</v>
      </c>
      <c r="G773" s="344">
        <v>10</v>
      </c>
      <c r="H773" s="344">
        <v>10</v>
      </c>
      <c r="I773" s="357">
        <f t="shared" si="312"/>
        <v>100</v>
      </c>
    </row>
    <row r="774" spans="1:9" ht="27" x14ac:dyDescent="0.3">
      <c r="A774" s="343"/>
      <c r="B774" s="343"/>
      <c r="C774" s="342"/>
      <c r="D774" s="342" t="s">
        <v>57</v>
      </c>
      <c r="E774" s="391" t="s">
        <v>56</v>
      </c>
      <c r="F774" s="344">
        <v>0</v>
      </c>
      <c r="G774" s="344">
        <v>10</v>
      </c>
      <c r="H774" s="344">
        <v>10</v>
      </c>
      <c r="I774" s="357">
        <f t="shared" si="312"/>
        <v>100</v>
      </c>
    </row>
    <row r="775" spans="1:9" x14ac:dyDescent="0.3">
      <c r="A775" s="21"/>
      <c r="B775" s="23" t="s">
        <v>130</v>
      </c>
      <c r="C775" s="22"/>
      <c r="D775" s="21"/>
      <c r="E775" s="20" t="s">
        <v>129</v>
      </c>
      <c r="F775" s="27">
        <f>F776+F803</f>
        <v>84313.75003000001</v>
      </c>
      <c r="G775" s="27">
        <f>G776+G803</f>
        <v>86052.926630000016</v>
      </c>
      <c r="H775" s="27">
        <f>H776+H803</f>
        <v>86052.915930000003</v>
      </c>
      <c r="I775" s="358">
        <f t="shared" si="312"/>
        <v>99.999987565791855</v>
      </c>
    </row>
    <row r="776" spans="1:9" x14ac:dyDescent="0.3">
      <c r="A776" s="37"/>
      <c r="B776" s="23" t="s">
        <v>128</v>
      </c>
      <c r="C776" s="22"/>
      <c r="D776" s="21"/>
      <c r="E776" s="20" t="s">
        <v>127</v>
      </c>
      <c r="F776" s="27">
        <f t="shared" ref="F776:H778" si="314">F777</f>
        <v>78219.600000000006</v>
      </c>
      <c r="G776" s="27">
        <f t="shared" si="314"/>
        <v>79321.776600000012</v>
      </c>
      <c r="H776" s="27">
        <f t="shared" si="314"/>
        <v>79321.76920000001</v>
      </c>
      <c r="I776" s="358">
        <f t="shared" si="312"/>
        <v>99.999990670909909</v>
      </c>
    </row>
    <row r="777" spans="1:9" x14ac:dyDescent="0.3">
      <c r="A777" s="37"/>
      <c r="B777" s="23"/>
      <c r="C777" s="22" t="s">
        <v>36</v>
      </c>
      <c r="D777" s="23"/>
      <c r="E777" s="28" t="s">
        <v>35</v>
      </c>
      <c r="F777" s="27">
        <f t="shared" si="314"/>
        <v>78219.600000000006</v>
      </c>
      <c r="G777" s="27">
        <f t="shared" si="314"/>
        <v>79321.776600000012</v>
      </c>
      <c r="H777" s="27">
        <f t="shared" si="314"/>
        <v>79321.76920000001</v>
      </c>
      <c r="I777" s="358">
        <f t="shared" si="312"/>
        <v>99.999990670909909</v>
      </c>
    </row>
    <row r="778" spans="1:9" ht="26.4" x14ac:dyDescent="0.3">
      <c r="A778" s="54"/>
      <c r="B778" s="34"/>
      <c r="C778" s="35" t="s">
        <v>65</v>
      </c>
      <c r="D778" s="34"/>
      <c r="E778" s="33" t="s">
        <v>64</v>
      </c>
      <c r="F778" s="32">
        <f t="shared" si="314"/>
        <v>78219.600000000006</v>
      </c>
      <c r="G778" s="32">
        <f t="shared" si="314"/>
        <v>79321.776600000012</v>
      </c>
      <c r="H778" s="32">
        <f t="shared" si="314"/>
        <v>79321.76920000001</v>
      </c>
      <c r="I778" s="351">
        <f t="shared" si="312"/>
        <v>99.999990670909909</v>
      </c>
    </row>
    <row r="779" spans="1:9" ht="27" x14ac:dyDescent="0.3">
      <c r="A779" s="31"/>
      <c r="B779" s="31"/>
      <c r="C779" s="31" t="s">
        <v>101</v>
      </c>
      <c r="D779" s="31"/>
      <c r="E779" s="52" t="s">
        <v>100</v>
      </c>
      <c r="F779" s="29">
        <f>F780+F783+F788+F791</f>
        <v>78219.600000000006</v>
      </c>
      <c r="G779" s="29">
        <f t="shared" ref="G779:H779" si="315">G780+G783+G788+G791</f>
        <v>79321.776600000012</v>
      </c>
      <c r="H779" s="29">
        <f t="shared" si="315"/>
        <v>79321.76920000001</v>
      </c>
      <c r="I779" s="352">
        <f t="shared" si="312"/>
        <v>99.999990670909909</v>
      </c>
    </row>
    <row r="780" spans="1:9" ht="40.200000000000003" x14ac:dyDescent="0.3">
      <c r="A780" s="190"/>
      <c r="B780" s="190"/>
      <c r="C780" s="190" t="s">
        <v>126</v>
      </c>
      <c r="D780" s="190"/>
      <c r="E780" s="191" t="s">
        <v>125</v>
      </c>
      <c r="F780" s="192">
        <f t="shared" ref="F780:H781" si="316">F781</f>
        <v>48819.100000000006</v>
      </c>
      <c r="G780" s="192">
        <f t="shared" si="316"/>
        <v>48819.100000000006</v>
      </c>
      <c r="H780" s="192">
        <f t="shared" si="316"/>
        <v>48819.100000000006</v>
      </c>
      <c r="I780" s="353">
        <f t="shared" si="312"/>
        <v>100</v>
      </c>
    </row>
    <row r="781" spans="1:9" x14ac:dyDescent="0.3">
      <c r="A781" s="7"/>
      <c r="B781" s="7"/>
      <c r="C781" s="7" t="s">
        <v>124</v>
      </c>
      <c r="D781" s="7"/>
      <c r="E781" s="64" t="s">
        <v>123</v>
      </c>
      <c r="F781" s="9">
        <f t="shared" si="316"/>
        <v>48819.100000000006</v>
      </c>
      <c r="G781" s="9">
        <f t="shared" si="316"/>
        <v>48819.100000000006</v>
      </c>
      <c r="H781" s="9">
        <f t="shared" si="316"/>
        <v>48819.100000000006</v>
      </c>
      <c r="I781" s="354">
        <f t="shared" si="312"/>
        <v>100</v>
      </c>
    </row>
    <row r="782" spans="1:9" ht="27" x14ac:dyDescent="0.3">
      <c r="A782" s="7"/>
      <c r="B782" s="7"/>
      <c r="C782" s="7"/>
      <c r="D782" s="7" t="s">
        <v>57</v>
      </c>
      <c r="E782" s="6" t="s">
        <v>56</v>
      </c>
      <c r="F782" s="9">
        <f>49854.3-1378.5+343.3</f>
        <v>48819.100000000006</v>
      </c>
      <c r="G782" s="9">
        <f t="shared" ref="G782:H782" si="317">49854.3-1378.5+343.3</f>
        <v>48819.100000000006</v>
      </c>
      <c r="H782" s="9">
        <f t="shared" si="317"/>
        <v>48819.100000000006</v>
      </c>
      <c r="I782" s="354">
        <f t="shared" si="312"/>
        <v>100</v>
      </c>
    </row>
    <row r="783" spans="1:9" x14ac:dyDescent="0.3">
      <c r="A783" s="190"/>
      <c r="B783" s="190"/>
      <c r="C783" s="190" t="s">
        <v>122</v>
      </c>
      <c r="D783" s="190"/>
      <c r="E783" s="191" t="s">
        <v>121</v>
      </c>
      <c r="F783" s="192">
        <f>F784+F786</f>
        <v>24594.400000000001</v>
      </c>
      <c r="G783" s="192">
        <f t="shared" ref="G783:H783" si="318">G784+G786</f>
        <v>24594.400000000001</v>
      </c>
      <c r="H783" s="192">
        <f t="shared" si="318"/>
        <v>24594.400000000001</v>
      </c>
      <c r="I783" s="353">
        <f t="shared" si="312"/>
        <v>100</v>
      </c>
    </row>
    <row r="784" spans="1:9" ht="27" x14ac:dyDescent="0.3">
      <c r="A784" s="7"/>
      <c r="B784" s="7"/>
      <c r="C784" s="7" t="s">
        <v>120</v>
      </c>
      <c r="D784" s="7"/>
      <c r="E784" s="64" t="s">
        <v>119</v>
      </c>
      <c r="F784" s="9">
        <f>F785</f>
        <v>24094.400000000001</v>
      </c>
      <c r="G784" s="9">
        <f t="shared" ref="G784:H784" si="319">G785</f>
        <v>24094.400000000001</v>
      </c>
      <c r="H784" s="9">
        <f t="shared" si="319"/>
        <v>24094.400000000001</v>
      </c>
      <c r="I784" s="354">
        <f t="shared" si="312"/>
        <v>100</v>
      </c>
    </row>
    <row r="785" spans="1:9" ht="27" x14ac:dyDescent="0.3">
      <c r="A785" s="7"/>
      <c r="B785" s="7"/>
      <c r="C785" s="7"/>
      <c r="D785" s="7" t="s">
        <v>57</v>
      </c>
      <c r="E785" s="6" t="s">
        <v>56</v>
      </c>
      <c r="F785" s="9">
        <f>20746+1245.9+2152.5-50</f>
        <v>24094.400000000001</v>
      </c>
      <c r="G785" s="9">
        <f t="shared" ref="G785:H785" si="320">20746+1245.9+2152.5-50</f>
        <v>24094.400000000001</v>
      </c>
      <c r="H785" s="9">
        <f t="shared" si="320"/>
        <v>24094.400000000001</v>
      </c>
      <c r="I785" s="354">
        <f t="shared" si="312"/>
        <v>100</v>
      </c>
    </row>
    <row r="786" spans="1:9" x14ac:dyDescent="0.3">
      <c r="A786" s="7"/>
      <c r="B786" s="7"/>
      <c r="C786" s="7" t="s">
        <v>118</v>
      </c>
      <c r="D786" s="7"/>
      <c r="E786" s="64" t="s">
        <v>117</v>
      </c>
      <c r="F786" s="9">
        <v>500</v>
      </c>
      <c r="G786" s="9">
        <v>500</v>
      </c>
      <c r="H786" s="9">
        <v>500</v>
      </c>
      <c r="I786" s="354">
        <f t="shared" si="312"/>
        <v>100</v>
      </c>
    </row>
    <row r="787" spans="1:9" ht="27" x14ac:dyDescent="0.3">
      <c r="A787" s="7"/>
      <c r="B787" s="7"/>
      <c r="C787" s="7"/>
      <c r="D787" s="7" t="s">
        <v>57</v>
      </c>
      <c r="E787" s="6" t="s">
        <v>56</v>
      </c>
      <c r="F787" s="9">
        <v>500</v>
      </c>
      <c r="G787" s="9">
        <v>500</v>
      </c>
      <c r="H787" s="9">
        <v>500</v>
      </c>
      <c r="I787" s="354">
        <f t="shared" si="312"/>
        <v>100</v>
      </c>
    </row>
    <row r="788" spans="1:9" ht="27" x14ac:dyDescent="0.3">
      <c r="A788" s="190"/>
      <c r="B788" s="190"/>
      <c r="C788" s="190" t="s">
        <v>116</v>
      </c>
      <c r="D788" s="190"/>
      <c r="E788" s="191" t="s">
        <v>115</v>
      </c>
      <c r="F788" s="192">
        <f t="shared" ref="F788:H789" si="321">F789</f>
        <v>1706.1000000000001</v>
      </c>
      <c r="G788" s="192">
        <f t="shared" si="321"/>
        <v>1706.1000000000001</v>
      </c>
      <c r="H788" s="192">
        <f t="shared" si="321"/>
        <v>1706.1000000000001</v>
      </c>
      <c r="I788" s="353">
        <f t="shared" si="312"/>
        <v>100</v>
      </c>
    </row>
    <row r="789" spans="1:9" x14ac:dyDescent="0.3">
      <c r="A789" s="7"/>
      <c r="B789" s="7"/>
      <c r="C789" s="7" t="s">
        <v>114</v>
      </c>
      <c r="D789" s="7"/>
      <c r="E789" s="64" t="s">
        <v>113</v>
      </c>
      <c r="F789" s="9">
        <f t="shared" si="321"/>
        <v>1706.1000000000001</v>
      </c>
      <c r="G789" s="9">
        <f t="shared" si="321"/>
        <v>1706.1000000000001</v>
      </c>
      <c r="H789" s="9">
        <f t="shared" si="321"/>
        <v>1706.1000000000001</v>
      </c>
      <c r="I789" s="354">
        <f t="shared" si="312"/>
        <v>100</v>
      </c>
    </row>
    <row r="790" spans="1:9" ht="27" x14ac:dyDescent="0.3">
      <c r="A790" s="7"/>
      <c r="B790" s="7"/>
      <c r="C790" s="7"/>
      <c r="D790" s="7" t="s">
        <v>57</v>
      </c>
      <c r="E790" s="6" t="s">
        <v>56</v>
      </c>
      <c r="F790" s="9">
        <f>1473.4+232.7</f>
        <v>1706.1000000000001</v>
      </c>
      <c r="G790" s="9">
        <f t="shared" ref="G790:H790" si="322">1473.4+232.7</f>
        <v>1706.1000000000001</v>
      </c>
      <c r="H790" s="9">
        <f t="shared" si="322"/>
        <v>1706.1000000000001</v>
      </c>
      <c r="I790" s="354">
        <f t="shared" si="312"/>
        <v>100</v>
      </c>
    </row>
    <row r="791" spans="1:9" s="58" customFormat="1" ht="40.200000000000003" x14ac:dyDescent="0.3">
      <c r="A791" s="190"/>
      <c r="B791" s="190"/>
      <c r="C791" s="190" t="s">
        <v>112</v>
      </c>
      <c r="D791" s="190"/>
      <c r="E791" s="193" t="s">
        <v>111</v>
      </c>
      <c r="F791" s="192">
        <f>F794+F798+F792+F796</f>
        <v>3100</v>
      </c>
      <c r="G791" s="192">
        <f t="shared" ref="G791:H791" si="323">G794+G798+G792+G796</f>
        <v>4202.1765999999998</v>
      </c>
      <c r="H791" s="192">
        <f t="shared" si="323"/>
        <v>4202.1692000000003</v>
      </c>
      <c r="I791" s="353">
        <f t="shared" si="312"/>
        <v>99.999823900785145</v>
      </c>
    </row>
    <row r="792" spans="1:9" ht="27" x14ac:dyDescent="0.3">
      <c r="A792" s="8"/>
      <c r="B792" s="8"/>
      <c r="C792" s="7" t="s">
        <v>842</v>
      </c>
      <c r="D792" s="7"/>
      <c r="E792" s="329" t="s">
        <v>837</v>
      </c>
      <c r="F792" s="59">
        <f>F793</f>
        <v>200.2</v>
      </c>
      <c r="G792" s="59">
        <f t="shared" ref="G792:H792" si="324">G793</f>
        <v>200.20294999999999</v>
      </c>
      <c r="H792" s="59">
        <f t="shared" si="324"/>
        <v>200.20294999999999</v>
      </c>
      <c r="I792" s="388">
        <f t="shared" si="312"/>
        <v>100</v>
      </c>
    </row>
    <row r="793" spans="1:9" ht="27" x14ac:dyDescent="0.3">
      <c r="A793" s="8"/>
      <c r="B793" s="8"/>
      <c r="C793" s="61"/>
      <c r="D793" s="7" t="s">
        <v>57</v>
      </c>
      <c r="E793" s="6" t="s">
        <v>56</v>
      </c>
      <c r="F793" s="59">
        <v>200.2</v>
      </c>
      <c r="G793" s="59">
        <v>200.20294999999999</v>
      </c>
      <c r="H793" s="59">
        <v>200.20294999999999</v>
      </c>
      <c r="I793" s="388">
        <f t="shared" si="312"/>
        <v>100</v>
      </c>
    </row>
    <row r="794" spans="1:9" ht="40.200000000000003" x14ac:dyDescent="0.3">
      <c r="A794" s="8"/>
      <c r="B794" s="8"/>
      <c r="C794" s="7" t="s">
        <v>576</v>
      </c>
      <c r="D794" s="7"/>
      <c r="E794" s="6" t="s">
        <v>107</v>
      </c>
      <c r="F794" s="59">
        <f>F795</f>
        <v>1967.8</v>
      </c>
      <c r="G794" s="59">
        <f t="shared" ref="G794" si="325">G795</f>
        <v>1967.7970499999999</v>
      </c>
      <c r="H794" s="59">
        <f>H795</f>
        <v>1967.7896499999999</v>
      </c>
      <c r="I794" s="388">
        <f t="shared" si="312"/>
        <v>99.999623944959154</v>
      </c>
    </row>
    <row r="795" spans="1:9" ht="27" x14ac:dyDescent="0.3">
      <c r="A795" s="8"/>
      <c r="B795" s="8"/>
      <c r="C795" s="61"/>
      <c r="D795" s="7" t="s">
        <v>57</v>
      </c>
      <c r="E795" s="6" t="s">
        <v>56</v>
      </c>
      <c r="F795" s="59">
        <v>1967.8</v>
      </c>
      <c r="G795" s="59">
        <v>1967.7970499999999</v>
      </c>
      <c r="H795" s="59">
        <v>1967.7896499999999</v>
      </c>
      <c r="I795" s="388">
        <f t="shared" si="312"/>
        <v>99.999623944959154</v>
      </c>
    </row>
    <row r="796" spans="1:9" x14ac:dyDescent="0.3">
      <c r="A796" s="8"/>
      <c r="B796" s="8"/>
      <c r="C796" s="7" t="s">
        <v>839</v>
      </c>
      <c r="D796" s="7"/>
      <c r="E796" s="330" t="s">
        <v>840</v>
      </c>
      <c r="F796" s="59">
        <f>F797</f>
        <v>432</v>
      </c>
      <c r="G796" s="59">
        <f t="shared" ref="G796:H796" si="326">G797</f>
        <v>432</v>
      </c>
      <c r="H796" s="59">
        <f t="shared" si="326"/>
        <v>432</v>
      </c>
      <c r="I796" s="388">
        <f t="shared" si="312"/>
        <v>100</v>
      </c>
    </row>
    <row r="797" spans="1:9" ht="27" x14ac:dyDescent="0.3">
      <c r="A797" s="8"/>
      <c r="B797" s="8"/>
      <c r="C797" s="61"/>
      <c r="D797" s="7" t="s">
        <v>57</v>
      </c>
      <c r="E797" s="6" t="s">
        <v>56</v>
      </c>
      <c r="F797" s="59">
        <v>432</v>
      </c>
      <c r="G797" s="59">
        <v>432</v>
      </c>
      <c r="H797" s="59">
        <v>432</v>
      </c>
      <c r="I797" s="388">
        <f t="shared" si="312"/>
        <v>100</v>
      </c>
    </row>
    <row r="798" spans="1:9" ht="27" x14ac:dyDescent="0.3">
      <c r="A798" s="8"/>
      <c r="B798" s="8"/>
      <c r="C798" s="7" t="s">
        <v>677</v>
      </c>
      <c r="D798" s="7"/>
      <c r="E798" s="6" t="s">
        <v>584</v>
      </c>
      <c r="F798" s="59">
        <f t="shared" ref="F798:H798" si="327">F799</f>
        <v>500</v>
      </c>
      <c r="G798" s="59">
        <f t="shared" si="327"/>
        <v>1602.1765999999998</v>
      </c>
      <c r="H798" s="59">
        <f t="shared" si="327"/>
        <v>1602.1766</v>
      </c>
      <c r="I798" s="388">
        <f t="shared" si="312"/>
        <v>100.00000000000003</v>
      </c>
    </row>
    <row r="799" spans="1:9" ht="27" x14ac:dyDescent="0.3">
      <c r="A799" s="8"/>
      <c r="B799" s="8"/>
      <c r="C799" s="61"/>
      <c r="D799" s="7" t="s">
        <v>57</v>
      </c>
      <c r="E799" s="6" t="s">
        <v>56</v>
      </c>
      <c r="F799" s="59">
        <f>F802</f>
        <v>500</v>
      </c>
      <c r="G799" s="59">
        <f>SUM(G802+G801+G800)</f>
        <v>1602.1765999999998</v>
      </c>
      <c r="H799" s="59">
        <f>SUM(H800:H802)</f>
        <v>1602.1766</v>
      </c>
      <c r="I799" s="388">
        <f t="shared" si="312"/>
        <v>100.00000000000003</v>
      </c>
    </row>
    <row r="800" spans="1:9" x14ac:dyDescent="0.3">
      <c r="A800" s="343"/>
      <c r="B800" s="343"/>
      <c r="C800" s="398"/>
      <c r="D800" s="342"/>
      <c r="E800" s="391" t="s">
        <v>109</v>
      </c>
      <c r="F800" s="445"/>
      <c r="G800" s="445">
        <v>826.63244999999995</v>
      </c>
      <c r="H800" s="445">
        <v>826.63244999999995</v>
      </c>
      <c r="I800" s="388">
        <f t="shared" si="312"/>
        <v>100</v>
      </c>
    </row>
    <row r="801" spans="1:9" x14ac:dyDescent="0.3">
      <c r="A801" s="343"/>
      <c r="B801" s="343"/>
      <c r="C801" s="398"/>
      <c r="D801" s="342"/>
      <c r="E801" s="391" t="s">
        <v>108</v>
      </c>
      <c r="F801" s="445"/>
      <c r="G801" s="445">
        <v>275.54415</v>
      </c>
      <c r="H801" s="445">
        <v>275.54415</v>
      </c>
      <c r="I801" s="388">
        <f t="shared" si="312"/>
        <v>100</v>
      </c>
    </row>
    <row r="802" spans="1:9" x14ac:dyDescent="0.3">
      <c r="A802" s="8"/>
      <c r="B802" s="8"/>
      <c r="C802" s="61"/>
      <c r="D802" s="7"/>
      <c r="E802" s="6" t="s">
        <v>106</v>
      </c>
      <c r="F802" s="59">
        <f>251.559+248.441</f>
        <v>500</v>
      </c>
      <c r="G802" s="59">
        <f t="shared" ref="G802:H802" si="328">251.559+248.441</f>
        <v>500</v>
      </c>
      <c r="H802" s="59">
        <f t="shared" si="328"/>
        <v>500</v>
      </c>
      <c r="I802" s="388">
        <f t="shared" si="312"/>
        <v>100</v>
      </c>
    </row>
    <row r="803" spans="1:9" x14ac:dyDescent="0.3">
      <c r="A803" s="37"/>
      <c r="B803" s="23" t="s">
        <v>105</v>
      </c>
      <c r="C803" s="22"/>
      <c r="D803" s="21"/>
      <c r="E803" s="20" t="s">
        <v>104</v>
      </c>
      <c r="F803" s="60">
        <f t="shared" ref="F803:H803" si="329">F804+F833</f>
        <v>6094.1500299999998</v>
      </c>
      <c r="G803" s="60">
        <f t="shared" si="329"/>
        <v>6731.1500299999998</v>
      </c>
      <c r="H803" s="60">
        <f t="shared" si="329"/>
        <v>6731.1467299999995</v>
      </c>
      <c r="I803" s="385">
        <f t="shared" si="312"/>
        <v>99.99995097420225</v>
      </c>
    </row>
    <row r="804" spans="1:9" x14ac:dyDescent="0.3">
      <c r="A804" s="37"/>
      <c r="B804" s="23"/>
      <c r="C804" s="22" t="s">
        <v>36</v>
      </c>
      <c r="D804" s="21"/>
      <c r="E804" s="28" t="s">
        <v>35</v>
      </c>
      <c r="F804" s="60">
        <f>F805+F812</f>
        <v>6050.4</v>
      </c>
      <c r="G804" s="60">
        <f t="shared" ref="G804:H804" si="330">G805+G812</f>
        <v>6687.4</v>
      </c>
      <c r="H804" s="60">
        <f t="shared" si="330"/>
        <v>6687.3966999999993</v>
      </c>
      <c r="I804" s="385">
        <f t="shared" si="312"/>
        <v>99.999950653467707</v>
      </c>
    </row>
    <row r="805" spans="1:9" ht="26.4" x14ac:dyDescent="0.3">
      <c r="A805" s="36"/>
      <c r="B805" s="34"/>
      <c r="C805" s="35" t="s">
        <v>34</v>
      </c>
      <c r="D805" s="34"/>
      <c r="E805" s="33" t="s">
        <v>103</v>
      </c>
      <c r="F805" s="32">
        <f t="shared" ref="F805:H807" si="331">F806</f>
        <v>3714.1</v>
      </c>
      <c r="G805" s="32">
        <f t="shared" si="331"/>
        <v>3714.1</v>
      </c>
      <c r="H805" s="32">
        <f t="shared" si="331"/>
        <v>3714.1</v>
      </c>
      <c r="I805" s="351">
        <f t="shared" si="312"/>
        <v>100</v>
      </c>
    </row>
    <row r="806" spans="1:9" ht="40.200000000000003" x14ac:dyDescent="0.3">
      <c r="A806" s="31"/>
      <c r="B806" s="31"/>
      <c r="C806" s="31" t="s">
        <v>32</v>
      </c>
      <c r="D806" s="31"/>
      <c r="E806" s="52" t="s">
        <v>102</v>
      </c>
      <c r="F806" s="29">
        <f t="shared" si="331"/>
        <v>3714.1</v>
      </c>
      <c r="G806" s="29">
        <f t="shared" si="331"/>
        <v>3714.1</v>
      </c>
      <c r="H806" s="29">
        <f t="shared" si="331"/>
        <v>3714.1</v>
      </c>
      <c r="I806" s="352">
        <f t="shared" si="312"/>
        <v>100</v>
      </c>
    </row>
    <row r="807" spans="1:9" ht="40.200000000000003" x14ac:dyDescent="0.3">
      <c r="A807" s="190"/>
      <c r="B807" s="190"/>
      <c r="C807" s="190" t="s">
        <v>30</v>
      </c>
      <c r="D807" s="197"/>
      <c r="E807" s="191" t="s">
        <v>29</v>
      </c>
      <c r="F807" s="192">
        <f t="shared" si="331"/>
        <v>3714.1</v>
      </c>
      <c r="G807" s="192">
        <f t="shared" si="331"/>
        <v>3714.1</v>
      </c>
      <c r="H807" s="192">
        <f t="shared" si="331"/>
        <v>3714.1</v>
      </c>
      <c r="I807" s="353">
        <f t="shared" si="312"/>
        <v>100</v>
      </c>
    </row>
    <row r="808" spans="1:9" ht="26.4" x14ac:dyDescent="0.3">
      <c r="A808" s="37"/>
      <c r="B808" s="55"/>
      <c r="C808" s="57" t="s">
        <v>28</v>
      </c>
      <c r="D808" s="55"/>
      <c r="E808" s="10" t="s">
        <v>27</v>
      </c>
      <c r="F808" s="59">
        <f>F809+F810</f>
        <v>3714.1</v>
      </c>
      <c r="G808" s="59">
        <f>G809+G810+G811</f>
        <v>3714.1</v>
      </c>
      <c r="H808" s="59">
        <f>H809+H810+H811</f>
        <v>3714.1</v>
      </c>
      <c r="I808" s="388">
        <f t="shared" si="312"/>
        <v>100</v>
      </c>
    </row>
    <row r="809" spans="1:9" ht="40.200000000000003" x14ac:dyDescent="0.3">
      <c r="A809" s="37"/>
      <c r="B809" s="55"/>
      <c r="C809" s="57"/>
      <c r="D809" s="55" t="s">
        <v>2</v>
      </c>
      <c r="E809" s="6" t="s">
        <v>1</v>
      </c>
      <c r="F809" s="59">
        <f>3455.9+139.5</f>
        <v>3595.4</v>
      </c>
      <c r="G809" s="59">
        <f t="shared" ref="G809:H809" si="332">3455.9+139.5</f>
        <v>3595.4</v>
      </c>
      <c r="H809" s="59">
        <f t="shared" si="332"/>
        <v>3595.4</v>
      </c>
      <c r="I809" s="388">
        <f t="shared" si="312"/>
        <v>100</v>
      </c>
    </row>
    <row r="810" spans="1:9" x14ac:dyDescent="0.3">
      <c r="A810" s="37"/>
      <c r="B810" s="55"/>
      <c r="C810" s="57"/>
      <c r="D810" s="55" t="s">
        <v>12</v>
      </c>
      <c r="E810" s="56" t="s">
        <v>11</v>
      </c>
      <c r="F810" s="9">
        <v>118.7</v>
      </c>
      <c r="G810" s="9">
        <v>111.7</v>
      </c>
      <c r="H810" s="9">
        <v>111.7</v>
      </c>
      <c r="I810" s="354">
        <f t="shared" si="312"/>
        <v>100</v>
      </c>
    </row>
    <row r="811" spans="1:9" x14ac:dyDescent="0.3">
      <c r="A811" s="446"/>
      <c r="B811" s="405"/>
      <c r="C811" s="447"/>
      <c r="D811" s="405" t="s">
        <v>22</v>
      </c>
      <c r="E811" s="410" t="s">
        <v>21</v>
      </c>
      <c r="F811" s="344"/>
      <c r="G811" s="344">
        <v>7</v>
      </c>
      <c r="H811" s="344">
        <v>7</v>
      </c>
      <c r="I811" s="354">
        <f t="shared" si="312"/>
        <v>100</v>
      </c>
    </row>
    <row r="812" spans="1:9" ht="26.4" x14ac:dyDescent="0.3">
      <c r="A812" s="54"/>
      <c r="B812" s="34"/>
      <c r="C812" s="35" t="s">
        <v>65</v>
      </c>
      <c r="D812" s="34"/>
      <c r="E812" s="33" t="s">
        <v>64</v>
      </c>
      <c r="F812" s="32">
        <f>F813</f>
        <v>2336.3000000000002</v>
      </c>
      <c r="G812" s="32">
        <f t="shared" ref="G812:H812" si="333">G813</f>
        <v>2973.3</v>
      </c>
      <c r="H812" s="32">
        <f t="shared" si="333"/>
        <v>2973.2966999999999</v>
      </c>
      <c r="I812" s="351">
        <f t="shared" si="312"/>
        <v>99.999889012208641</v>
      </c>
    </row>
    <row r="813" spans="1:9" ht="27" x14ac:dyDescent="0.3">
      <c r="A813" s="31"/>
      <c r="B813" s="31"/>
      <c r="C813" s="31" t="s">
        <v>101</v>
      </c>
      <c r="D813" s="31"/>
      <c r="E813" s="52" t="s">
        <v>100</v>
      </c>
      <c r="F813" s="29">
        <f>F814+F830</f>
        <v>2336.3000000000002</v>
      </c>
      <c r="G813" s="29">
        <f t="shared" ref="G813:H813" si="334">G814+G830</f>
        <v>2973.3</v>
      </c>
      <c r="H813" s="29">
        <f t="shared" si="334"/>
        <v>2973.2966999999999</v>
      </c>
      <c r="I813" s="352">
        <f t="shared" si="312"/>
        <v>99.999889012208641</v>
      </c>
    </row>
    <row r="814" spans="1:9" ht="27" x14ac:dyDescent="0.3">
      <c r="A814" s="190"/>
      <c r="B814" s="190"/>
      <c r="C814" s="190" t="s">
        <v>99</v>
      </c>
      <c r="D814" s="197"/>
      <c r="E814" s="191" t="s">
        <v>98</v>
      </c>
      <c r="F814" s="192">
        <f>F815+F817+F819+F823</f>
        <v>2286.3000000000002</v>
      </c>
      <c r="G814" s="192">
        <f>G815+G817+G819+G823+G826</f>
        <v>2923.3</v>
      </c>
      <c r="H814" s="192">
        <f>H815+H817+H819+H823+H826</f>
        <v>2923.2966999999999</v>
      </c>
      <c r="I814" s="353">
        <f t="shared" si="312"/>
        <v>99.999887113878145</v>
      </c>
    </row>
    <row r="815" spans="1:9" ht="53.4" x14ac:dyDescent="0.3">
      <c r="A815" s="7"/>
      <c r="B815" s="7"/>
      <c r="C815" s="7" t="s">
        <v>97</v>
      </c>
      <c r="D815" s="7"/>
      <c r="E815" s="6" t="s">
        <v>96</v>
      </c>
      <c r="F815" s="9">
        <f>F816</f>
        <v>669.8</v>
      </c>
      <c r="G815" s="9">
        <f t="shared" ref="G815:H815" si="335">G816</f>
        <v>669.8</v>
      </c>
      <c r="H815" s="9">
        <f t="shared" si="335"/>
        <v>669.8</v>
      </c>
      <c r="I815" s="354">
        <f t="shared" si="312"/>
        <v>100</v>
      </c>
    </row>
    <row r="816" spans="1:9" ht="27" x14ac:dyDescent="0.3">
      <c r="A816" s="7"/>
      <c r="B816" s="7"/>
      <c r="C816" s="7"/>
      <c r="D816" s="7" t="s">
        <v>57</v>
      </c>
      <c r="E816" s="6" t="s">
        <v>56</v>
      </c>
      <c r="F816" s="9">
        <f>769.8-100</f>
        <v>669.8</v>
      </c>
      <c r="G816" s="9">
        <f t="shared" ref="G816:H816" si="336">769.8-100</f>
        <v>669.8</v>
      </c>
      <c r="H816" s="9">
        <f t="shared" si="336"/>
        <v>669.8</v>
      </c>
      <c r="I816" s="354">
        <f t="shared" si="312"/>
        <v>100</v>
      </c>
    </row>
    <row r="817" spans="1:9" ht="53.4" x14ac:dyDescent="0.3">
      <c r="A817" s="7"/>
      <c r="B817" s="7"/>
      <c r="C817" s="7" t="s">
        <v>95</v>
      </c>
      <c r="D817" s="7"/>
      <c r="E817" s="6" t="s">
        <v>94</v>
      </c>
      <c r="F817" s="9">
        <f>F818</f>
        <v>590</v>
      </c>
      <c r="G817" s="9">
        <f t="shared" ref="G817:H817" si="337">G818</f>
        <v>590</v>
      </c>
      <c r="H817" s="9">
        <f t="shared" si="337"/>
        <v>590</v>
      </c>
      <c r="I817" s="354">
        <f t="shared" si="312"/>
        <v>100</v>
      </c>
    </row>
    <row r="818" spans="1:9" s="58" customFormat="1" ht="27" x14ac:dyDescent="0.3">
      <c r="A818" s="7"/>
      <c r="B818" s="7"/>
      <c r="C818" s="7"/>
      <c r="D818" s="7" t="s">
        <v>57</v>
      </c>
      <c r="E818" s="6" t="s">
        <v>56</v>
      </c>
      <c r="F818" s="9">
        <v>590</v>
      </c>
      <c r="G818" s="9">
        <v>590</v>
      </c>
      <c r="H818" s="9">
        <v>590</v>
      </c>
      <c r="I818" s="354">
        <f t="shared" si="312"/>
        <v>100</v>
      </c>
    </row>
    <row r="819" spans="1:9" s="58" customFormat="1" x14ac:dyDescent="0.3">
      <c r="A819" s="7"/>
      <c r="B819" s="7"/>
      <c r="C819" s="7" t="s">
        <v>577</v>
      </c>
      <c r="D819" s="7"/>
      <c r="E819" s="6" t="s">
        <v>578</v>
      </c>
      <c r="F819" s="243">
        <f>F820</f>
        <v>859.5</v>
      </c>
      <c r="G819" s="243">
        <f t="shared" ref="G819:H819" si="338">G820</f>
        <v>859.5</v>
      </c>
      <c r="H819" s="243">
        <f t="shared" si="338"/>
        <v>859.49670000000003</v>
      </c>
      <c r="I819" s="369">
        <f t="shared" si="312"/>
        <v>99.999616055846431</v>
      </c>
    </row>
    <row r="820" spans="1:9" s="58" customFormat="1" ht="27" x14ac:dyDescent="0.3">
      <c r="A820" s="7"/>
      <c r="B820" s="7"/>
      <c r="C820" s="7"/>
      <c r="D820" s="7" t="s">
        <v>57</v>
      </c>
      <c r="E820" s="6" t="s">
        <v>56</v>
      </c>
      <c r="F820" s="243">
        <f>560+172+127.5</f>
        <v>859.5</v>
      </c>
      <c r="G820" s="243">
        <f t="shared" ref="G820" si="339">560+172+127.5</f>
        <v>859.5</v>
      </c>
      <c r="H820" s="243">
        <f>H821+H822</f>
        <v>859.49670000000003</v>
      </c>
      <c r="I820" s="369">
        <f t="shared" si="312"/>
        <v>99.999616055846431</v>
      </c>
    </row>
    <row r="821" spans="1:9" s="58" customFormat="1" x14ac:dyDescent="0.3">
      <c r="A821" s="342"/>
      <c r="B821" s="342"/>
      <c r="C821" s="342"/>
      <c r="D821" s="342"/>
      <c r="E821" s="6" t="s">
        <v>106</v>
      </c>
      <c r="F821" s="403"/>
      <c r="G821" s="403">
        <v>753.74991999999997</v>
      </c>
      <c r="H821" s="403">
        <v>753.74662000000001</v>
      </c>
      <c r="I821" s="369">
        <f t="shared" si="312"/>
        <v>99.999562189008259</v>
      </c>
    </row>
    <row r="822" spans="1:9" s="58" customFormat="1" x14ac:dyDescent="0.3">
      <c r="A822" s="342"/>
      <c r="B822" s="342"/>
      <c r="C822" s="342"/>
      <c r="D822" s="342"/>
      <c r="E822" s="6" t="s">
        <v>884</v>
      </c>
      <c r="F822" s="403"/>
      <c r="G822" s="403">
        <v>105.75008</v>
      </c>
      <c r="H822" s="403">
        <v>105.75008</v>
      </c>
      <c r="I822" s="369">
        <f t="shared" si="312"/>
        <v>100</v>
      </c>
    </row>
    <row r="823" spans="1:9" s="58" customFormat="1" x14ac:dyDescent="0.3">
      <c r="A823" s="7"/>
      <c r="B823" s="7"/>
      <c r="C823" s="7" t="s">
        <v>820</v>
      </c>
      <c r="D823" s="7"/>
      <c r="E823" s="6" t="s">
        <v>784</v>
      </c>
      <c r="F823" s="241">
        <f>F824</f>
        <v>167</v>
      </c>
      <c r="G823" s="241">
        <f t="shared" ref="G823:H823" si="340">G824</f>
        <v>0</v>
      </c>
      <c r="H823" s="241">
        <f t="shared" si="340"/>
        <v>0</v>
      </c>
      <c r="I823" s="365"/>
    </row>
    <row r="824" spans="1:9" s="58" customFormat="1" x14ac:dyDescent="0.3">
      <c r="A824" s="7"/>
      <c r="B824" s="7"/>
      <c r="C824" s="7"/>
      <c r="D824" s="7" t="s">
        <v>57</v>
      </c>
      <c r="E824" s="6" t="s">
        <v>11</v>
      </c>
      <c r="F824" s="241">
        <v>167</v>
      </c>
      <c r="G824" s="241">
        <v>0</v>
      </c>
      <c r="H824" s="241">
        <v>0</v>
      </c>
      <c r="I824" s="365"/>
    </row>
    <row r="825" spans="1:9" s="58" customFormat="1" x14ac:dyDescent="0.3">
      <c r="A825" s="311"/>
      <c r="B825" s="311"/>
      <c r="C825" s="311"/>
      <c r="D825" s="311"/>
      <c r="E825" s="6" t="s">
        <v>106</v>
      </c>
      <c r="F825" s="241">
        <v>167</v>
      </c>
      <c r="G825" s="241">
        <v>0</v>
      </c>
      <c r="H825" s="241">
        <v>0</v>
      </c>
      <c r="I825" s="365"/>
    </row>
    <row r="826" spans="1:9" s="58" customFormat="1" x14ac:dyDescent="0.3">
      <c r="A826" s="7"/>
      <c r="B826" s="7"/>
      <c r="C826" s="7" t="s">
        <v>885</v>
      </c>
      <c r="D826" s="7"/>
      <c r="E826" s="6" t="s">
        <v>784</v>
      </c>
      <c r="F826" s="241"/>
      <c r="G826" s="241">
        <f t="shared" ref="G826" si="341">G827</f>
        <v>804</v>
      </c>
      <c r="H826" s="241">
        <f t="shared" ref="H826" si="342">H827</f>
        <v>804</v>
      </c>
      <c r="I826" s="365">
        <f t="shared" ref="I826:I829" si="343">H826/G826*100</f>
        <v>100</v>
      </c>
    </row>
    <row r="827" spans="1:9" s="58" customFormat="1" x14ac:dyDescent="0.3">
      <c r="A827" s="7"/>
      <c r="B827" s="7"/>
      <c r="C827" s="7"/>
      <c r="D827" s="7" t="s">
        <v>57</v>
      </c>
      <c r="E827" s="6" t="s">
        <v>11</v>
      </c>
      <c r="F827" s="241"/>
      <c r="G827" s="241">
        <f>G828+G829</f>
        <v>804</v>
      </c>
      <c r="H827" s="241">
        <f>H828+H829</f>
        <v>804</v>
      </c>
      <c r="I827" s="365">
        <f t="shared" si="343"/>
        <v>100</v>
      </c>
    </row>
    <row r="828" spans="1:9" s="58" customFormat="1" x14ac:dyDescent="0.3">
      <c r="A828" s="342"/>
      <c r="B828" s="342"/>
      <c r="C828" s="342"/>
      <c r="D828" s="342"/>
      <c r="E828" s="391" t="s">
        <v>108</v>
      </c>
      <c r="F828" s="396"/>
      <c r="G828" s="396">
        <v>637</v>
      </c>
      <c r="H828" s="396">
        <v>637</v>
      </c>
      <c r="I828" s="397">
        <f t="shared" si="343"/>
        <v>100</v>
      </c>
    </row>
    <row r="829" spans="1:9" s="58" customFormat="1" x14ac:dyDescent="0.3">
      <c r="A829" s="311"/>
      <c r="B829" s="311"/>
      <c r="C829" s="311"/>
      <c r="D829" s="311"/>
      <c r="E829" s="6" t="s">
        <v>106</v>
      </c>
      <c r="F829" s="241"/>
      <c r="G829" s="241">
        <v>167</v>
      </c>
      <c r="H829" s="241">
        <v>167</v>
      </c>
      <c r="I829" s="365">
        <f t="shared" si="343"/>
        <v>100</v>
      </c>
    </row>
    <row r="830" spans="1:9" x14ac:dyDescent="0.3">
      <c r="A830" s="190"/>
      <c r="B830" s="190"/>
      <c r="C830" s="190" t="s">
        <v>93</v>
      </c>
      <c r="D830" s="197"/>
      <c r="E830" s="191" t="s">
        <v>92</v>
      </c>
      <c r="F830" s="192">
        <f t="shared" ref="F830:H831" si="344">F831</f>
        <v>50</v>
      </c>
      <c r="G830" s="192">
        <f t="shared" si="344"/>
        <v>50</v>
      </c>
      <c r="H830" s="192">
        <f t="shared" si="344"/>
        <v>50</v>
      </c>
      <c r="I830" s="353">
        <f t="shared" si="312"/>
        <v>100</v>
      </c>
    </row>
    <row r="831" spans="1:9" x14ac:dyDescent="0.3">
      <c r="A831" s="7"/>
      <c r="B831" s="7"/>
      <c r="C831" s="7" t="s">
        <v>91</v>
      </c>
      <c r="D831" s="7"/>
      <c r="E831" s="6" t="s">
        <v>90</v>
      </c>
      <c r="F831" s="9">
        <f t="shared" si="344"/>
        <v>50</v>
      </c>
      <c r="G831" s="9">
        <f t="shared" si="344"/>
        <v>50</v>
      </c>
      <c r="H831" s="9">
        <f t="shared" si="344"/>
        <v>50</v>
      </c>
      <c r="I831" s="354">
        <f t="shared" si="312"/>
        <v>100</v>
      </c>
    </row>
    <row r="832" spans="1:9" ht="27" x14ac:dyDescent="0.3">
      <c r="A832" s="7"/>
      <c r="B832" s="7"/>
      <c r="C832" s="7"/>
      <c r="D832" s="7" t="s">
        <v>57</v>
      </c>
      <c r="E832" s="6" t="s">
        <v>56</v>
      </c>
      <c r="F832" s="9">
        <v>50</v>
      </c>
      <c r="G832" s="9">
        <v>50</v>
      </c>
      <c r="H832" s="9">
        <v>50</v>
      </c>
      <c r="I832" s="354">
        <f t="shared" si="312"/>
        <v>100</v>
      </c>
    </row>
    <row r="833" spans="1:9" x14ac:dyDescent="0.3">
      <c r="A833" s="112"/>
      <c r="B833" s="112"/>
      <c r="C833" s="49" t="s">
        <v>52</v>
      </c>
      <c r="D833" s="48"/>
      <c r="E833" s="47" t="s">
        <v>51</v>
      </c>
      <c r="F833" s="110">
        <f t="shared" ref="F833:H835" si="345">F834</f>
        <v>43.750030000000002</v>
      </c>
      <c r="G833" s="110">
        <f t="shared" si="345"/>
        <v>43.750030000000002</v>
      </c>
      <c r="H833" s="110">
        <f t="shared" si="345"/>
        <v>43.750030000000002</v>
      </c>
      <c r="I833" s="355">
        <f t="shared" si="312"/>
        <v>100</v>
      </c>
    </row>
    <row r="834" spans="1:9" ht="26.4" x14ac:dyDescent="0.3">
      <c r="A834" s="124"/>
      <c r="B834" s="124"/>
      <c r="C834" s="123" t="s">
        <v>16</v>
      </c>
      <c r="D834" s="122"/>
      <c r="E834" s="121" t="s">
        <v>44</v>
      </c>
      <c r="F834" s="120">
        <f t="shared" si="345"/>
        <v>43.750030000000002</v>
      </c>
      <c r="G834" s="120">
        <f t="shared" si="345"/>
        <v>43.750030000000002</v>
      </c>
      <c r="H834" s="120">
        <f t="shared" si="345"/>
        <v>43.750030000000002</v>
      </c>
      <c r="I834" s="356">
        <f t="shared" ref="I834:I897" si="346">H834/G834*100</f>
        <v>100</v>
      </c>
    </row>
    <row r="835" spans="1:9" x14ac:dyDescent="0.3">
      <c r="A835" s="343"/>
      <c r="B835" s="343"/>
      <c r="C835" s="342" t="s">
        <v>848</v>
      </c>
      <c r="D835" s="267"/>
      <c r="E835" s="270" t="s">
        <v>847</v>
      </c>
      <c r="F835" s="344">
        <f>F836</f>
        <v>43.750030000000002</v>
      </c>
      <c r="G835" s="344">
        <f t="shared" si="345"/>
        <v>43.750030000000002</v>
      </c>
      <c r="H835" s="344">
        <f t="shared" si="345"/>
        <v>43.750030000000002</v>
      </c>
      <c r="I835" s="357">
        <f t="shared" si="346"/>
        <v>100</v>
      </c>
    </row>
    <row r="836" spans="1:9" ht="40.200000000000003" x14ac:dyDescent="0.3">
      <c r="A836" s="343"/>
      <c r="B836" s="343"/>
      <c r="C836" s="342"/>
      <c r="D836" s="7" t="s">
        <v>2</v>
      </c>
      <c r="E836" s="6" t="s">
        <v>1</v>
      </c>
      <c r="F836" s="344">
        <v>43.750030000000002</v>
      </c>
      <c r="G836" s="344">
        <v>43.750030000000002</v>
      </c>
      <c r="H836" s="344">
        <v>43.750030000000002</v>
      </c>
      <c r="I836" s="357">
        <f t="shared" si="346"/>
        <v>100</v>
      </c>
    </row>
    <row r="837" spans="1:9" x14ac:dyDescent="0.3">
      <c r="A837" s="37"/>
      <c r="B837" s="23">
        <v>1000</v>
      </c>
      <c r="C837" s="22"/>
      <c r="D837" s="21"/>
      <c r="E837" s="20" t="s">
        <v>89</v>
      </c>
      <c r="F837" s="27">
        <f t="shared" ref="F837:H842" si="347">F838</f>
        <v>381.5</v>
      </c>
      <c r="G837" s="27">
        <f t="shared" si="347"/>
        <v>405.5</v>
      </c>
      <c r="H837" s="27">
        <f t="shared" si="347"/>
        <v>405.5</v>
      </c>
      <c r="I837" s="358">
        <f t="shared" si="346"/>
        <v>100</v>
      </c>
    </row>
    <row r="838" spans="1:9" x14ac:dyDescent="0.3">
      <c r="A838" s="21"/>
      <c r="B838" s="23">
        <v>1003</v>
      </c>
      <c r="C838" s="22"/>
      <c r="D838" s="21"/>
      <c r="E838" s="20" t="s">
        <v>88</v>
      </c>
      <c r="F838" s="27">
        <f t="shared" si="347"/>
        <v>381.5</v>
      </c>
      <c r="G838" s="27">
        <f t="shared" si="347"/>
        <v>405.5</v>
      </c>
      <c r="H838" s="27">
        <f t="shared" si="347"/>
        <v>405.5</v>
      </c>
      <c r="I838" s="358">
        <f t="shared" si="346"/>
        <v>100</v>
      </c>
    </row>
    <row r="839" spans="1:9" x14ac:dyDescent="0.3">
      <c r="A839" s="53"/>
      <c r="B839" s="23"/>
      <c r="C839" s="22" t="s">
        <v>36</v>
      </c>
      <c r="D839" s="21"/>
      <c r="E839" s="28" t="s">
        <v>35</v>
      </c>
      <c r="F839" s="27">
        <f t="shared" si="347"/>
        <v>381.5</v>
      </c>
      <c r="G839" s="27">
        <f t="shared" si="347"/>
        <v>405.5</v>
      </c>
      <c r="H839" s="27">
        <f t="shared" si="347"/>
        <v>405.5</v>
      </c>
      <c r="I839" s="358">
        <f t="shared" si="346"/>
        <v>100</v>
      </c>
    </row>
    <row r="840" spans="1:9" ht="26.4" x14ac:dyDescent="0.3">
      <c r="A840" s="54"/>
      <c r="B840" s="34"/>
      <c r="C840" s="35" t="s">
        <v>87</v>
      </c>
      <c r="D840" s="34"/>
      <c r="E840" s="33" t="s">
        <v>86</v>
      </c>
      <c r="F840" s="32">
        <f t="shared" si="347"/>
        <v>381.5</v>
      </c>
      <c r="G840" s="32">
        <f t="shared" si="347"/>
        <v>405.5</v>
      </c>
      <c r="H840" s="32">
        <f t="shared" si="347"/>
        <v>405.5</v>
      </c>
      <c r="I840" s="351">
        <f t="shared" si="346"/>
        <v>100</v>
      </c>
    </row>
    <row r="841" spans="1:9" x14ac:dyDescent="0.3">
      <c r="A841" s="31"/>
      <c r="B841" s="31"/>
      <c r="C841" s="31" t="s">
        <v>85</v>
      </c>
      <c r="D841" s="31"/>
      <c r="E841" s="52" t="s">
        <v>84</v>
      </c>
      <c r="F841" s="29">
        <f t="shared" si="347"/>
        <v>381.5</v>
      </c>
      <c r="G841" s="29">
        <f t="shared" si="347"/>
        <v>405.5</v>
      </c>
      <c r="H841" s="29">
        <f t="shared" si="347"/>
        <v>405.5</v>
      </c>
      <c r="I841" s="352">
        <f t="shared" si="346"/>
        <v>100</v>
      </c>
    </row>
    <row r="842" spans="1:9" ht="27" x14ac:dyDescent="0.3">
      <c r="A842" s="190"/>
      <c r="B842" s="190"/>
      <c r="C842" s="190" t="s">
        <v>83</v>
      </c>
      <c r="D842" s="197"/>
      <c r="E842" s="191" t="s">
        <v>82</v>
      </c>
      <c r="F842" s="192">
        <f t="shared" si="347"/>
        <v>381.5</v>
      </c>
      <c r="G842" s="192">
        <f t="shared" si="347"/>
        <v>405.5</v>
      </c>
      <c r="H842" s="192">
        <f t="shared" si="347"/>
        <v>405.5</v>
      </c>
      <c r="I842" s="353">
        <f t="shared" si="346"/>
        <v>100</v>
      </c>
    </row>
    <row r="843" spans="1:9" ht="40.5" customHeight="1" x14ac:dyDescent="0.3">
      <c r="A843" s="53"/>
      <c r="B843" s="55"/>
      <c r="C843" s="57" t="s">
        <v>81</v>
      </c>
      <c r="D843" s="55"/>
      <c r="E843" s="10" t="s">
        <v>80</v>
      </c>
      <c r="F843" s="9">
        <f>SUM(F844:F845)</f>
        <v>381.5</v>
      </c>
      <c r="G843" s="9">
        <f t="shared" ref="G843:H843" si="348">SUM(G844:G845)</f>
        <v>405.5</v>
      </c>
      <c r="H843" s="9">
        <f t="shared" si="348"/>
        <v>405.5</v>
      </c>
      <c r="I843" s="354">
        <f t="shared" si="346"/>
        <v>100</v>
      </c>
    </row>
    <row r="844" spans="1:9" x14ac:dyDescent="0.3">
      <c r="A844" s="53"/>
      <c r="B844" s="55"/>
      <c r="C844" s="57"/>
      <c r="D844" s="55" t="s">
        <v>79</v>
      </c>
      <c r="E844" s="6" t="s">
        <v>78</v>
      </c>
      <c r="F844" s="9">
        <v>14.1</v>
      </c>
      <c r="G844" s="9">
        <v>18.100000000000001</v>
      </c>
      <c r="H844" s="9">
        <v>18.100000000000001</v>
      </c>
      <c r="I844" s="354">
        <f t="shared" si="346"/>
        <v>100</v>
      </c>
    </row>
    <row r="845" spans="1:9" ht="26.4" x14ac:dyDescent="0.3">
      <c r="A845" s="53"/>
      <c r="B845" s="55"/>
      <c r="C845" s="57"/>
      <c r="D845" s="55" t="s">
        <v>57</v>
      </c>
      <c r="E845" s="56" t="s">
        <v>56</v>
      </c>
      <c r="F845" s="9">
        <v>367.4</v>
      </c>
      <c r="G845" s="9">
        <v>387.4</v>
      </c>
      <c r="H845" s="9">
        <v>387.4</v>
      </c>
      <c r="I845" s="354">
        <f t="shared" si="346"/>
        <v>100</v>
      </c>
    </row>
    <row r="846" spans="1:9" x14ac:dyDescent="0.3">
      <c r="A846" s="53"/>
      <c r="B846" s="23">
        <v>1100</v>
      </c>
      <c r="C846" s="22"/>
      <c r="D846" s="21"/>
      <c r="E846" s="20" t="s">
        <v>76</v>
      </c>
      <c r="F846" s="27">
        <f t="shared" ref="F846:H851" si="349">F847</f>
        <v>76</v>
      </c>
      <c r="G846" s="27">
        <f t="shared" si="349"/>
        <v>76</v>
      </c>
      <c r="H846" s="27">
        <f t="shared" si="349"/>
        <v>76</v>
      </c>
      <c r="I846" s="358">
        <f t="shared" si="346"/>
        <v>100</v>
      </c>
    </row>
    <row r="847" spans="1:9" x14ac:dyDescent="0.3">
      <c r="A847" s="53"/>
      <c r="B847" s="23" t="s">
        <v>75</v>
      </c>
      <c r="C847" s="22"/>
      <c r="D847" s="23"/>
      <c r="E847" s="28" t="s">
        <v>74</v>
      </c>
      <c r="F847" s="27">
        <f t="shared" si="349"/>
        <v>76</v>
      </c>
      <c r="G847" s="27">
        <f t="shared" si="349"/>
        <v>76</v>
      </c>
      <c r="H847" s="27">
        <f t="shared" si="349"/>
        <v>76</v>
      </c>
      <c r="I847" s="358">
        <f t="shared" si="346"/>
        <v>100</v>
      </c>
    </row>
    <row r="848" spans="1:9" x14ac:dyDescent="0.3">
      <c r="A848" s="53"/>
      <c r="B848" s="23"/>
      <c r="C848" s="22" t="s">
        <v>36</v>
      </c>
      <c r="D848" s="23"/>
      <c r="E848" s="28" t="s">
        <v>35</v>
      </c>
      <c r="F848" s="27">
        <f t="shared" si="349"/>
        <v>76</v>
      </c>
      <c r="G848" s="27">
        <f t="shared" si="349"/>
        <v>76</v>
      </c>
      <c r="H848" s="27">
        <f t="shared" si="349"/>
        <v>76</v>
      </c>
      <c r="I848" s="358">
        <f t="shared" si="346"/>
        <v>100</v>
      </c>
    </row>
    <row r="849" spans="1:9" ht="26.4" x14ac:dyDescent="0.3">
      <c r="A849" s="54"/>
      <c r="B849" s="34"/>
      <c r="C849" s="35" t="s">
        <v>73</v>
      </c>
      <c r="D849" s="34"/>
      <c r="E849" s="33" t="s">
        <v>72</v>
      </c>
      <c r="F849" s="32">
        <f t="shared" si="349"/>
        <v>76</v>
      </c>
      <c r="G849" s="32">
        <f t="shared" si="349"/>
        <v>76</v>
      </c>
      <c r="H849" s="32">
        <f t="shared" si="349"/>
        <v>76</v>
      </c>
      <c r="I849" s="351">
        <f t="shared" si="346"/>
        <v>100</v>
      </c>
    </row>
    <row r="850" spans="1:9" ht="40.200000000000003" x14ac:dyDescent="0.3">
      <c r="A850" s="190"/>
      <c r="B850" s="190"/>
      <c r="C850" s="190" t="s">
        <v>71</v>
      </c>
      <c r="D850" s="190"/>
      <c r="E850" s="191" t="s">
        <v>70</v>
      </c>
      <c r="F850" s="192">
        <f t="shared" si="349"/>
        <v>76</v>
      </c>
      <c r="G850" s="192">
        <f t="shared" si="349"/>
        <v>76</v>
      </c>
      <c r="H850" s="192">
        <f t="shared" si="349"/>
        <v>76</v>
      </c>
      <c r="I850" s="353">
        <f t="shared" si="346"/>
        <v>100</v>
      </c>
    </row>
    <row r="851" spans="1:9" ht="40.200000000000003" x14ac:dyDescent="0.3">
      <c r="A851" s="8"/>
      <c r="B851" s="8"/>
      <c r="C851" s="7" t="s">
        <v>69</v>
      </c>
      <c r="D851" s="7"/>
      <c r="E851" s="6" t="s">
        <v>68</v>
      </c>
      <c r="F851" s="9">
        <f t="shared" si="349"/>
        <v>76</v>
      </c>
      <c r="G851" s="9">
        <f t="shared" si="349"/>
        <v>76</v>
      </c>
      <c r="H851" s="9">
        <f t="shared" si="349"/>
        <v>76</v>
      </c>
      <c r="I851" s="354">
        <f t="shared" si="346"/>
        <v>100</v>
      </c>
    </row>
    <row r="852" spans="1:9" ht="27" x14ac:dyDescent="0.3">
      <c r="A852" s="8"/>
      <c r="B852" s="8"/>
      <c r="C852" s="7"/>
      <c r="D852" s="7" t="s">
        <v>57</v>
      </c>
      <c r="E852" s="6" t="s">
        <v>56</v>
      </c>
      <c r="F852" s="9">
        <v>76</v>
      </c>
      <c r="G852" s="9">
        <v>76</v>
      </c>
      <c r="H852" s="9">
        <v>76</v>
      </c>
      <c r="I852" s="354">
        <f t="shared" si="346"/>
        <v>100</v>
      </c>
    </row>
    <row r="853" spans="1:9" x14ac:dyDescent="0.3">
      <c r="A853" s="53"/>
      <c r="B853" s="23">
        <v>1200</v>
      </c>
      <c r="C853" s="22"/>
      <c r="D853" s="21"/>
      <c r="E853" s="20" t="s">
        <v>67</v>
      </c>
      <c r="F853" s="27">
        <f t="shared" ref="F853:H859" si="350">F854</f>
        <v>1139.5</v>
      </c>
      <c r="G853" s="27">
        <f t="shared" si="350"/>
        <v>1139.5</v>
      </c>
      <c r="H853" s="27">
        <f t="shared" si="350"/>
        <v>1139.5</v>
      </c>
      <c r="I853" s="358">
        <f t="shared" si="346"/>
        <v>100</v>
      </c>
    </row>
    <row r="854" spans="1:9" x14ac:dyDescent="0.3">
      <c r="A854" s="21"/>
      <c r="B854" s="23">
        <v>1202</v>
      </c>
      <c r="C854" s="22"/>
      <c r="D854" s="21"/>
      <c r="E854" s="20" t="s">
        <v>66</v>
      </c>
      <c r="F854" s="27">
        <f t="shared" si="350"/>
        <v>1139.5</v>
      </c>
      <c r="G854" s="27">
        <f t="shared" si="350"/>
        <v>1139.5</v>
      </c>
      <c r="H854" s="27">
        <f t="shared" si="350"/>
        <v>1139.5</v>
      </c>
      <c r="I854" s="358">
        <f t="shared" si="346"/>
        <v>100</v>
      </c>
    </row>
    <row r="855" spans="1:9" x14ac:dyDescent="0.3">
      <c r="A855" s="21"/>
      <c r="B855" s="23"/>
      <c r="C855" s="22" t="s">
        <v>36</v>
      </c>
      <c r="D855" s="21"/>
      <c r="E855" s="28" t="s">
        <v>35</v>
      </c>
      <c r="F855" s="27">
        <f t="shared" si="350"/>
        <v>1139.5</v>
      </c>
      <c r="G855" s="27">
        <f t="shared" si="350"/>
        <v>1139.5</v>
      </c>
      <c r="H855" s="27">
        <f t="shared" si="350"/>
        <v>1139.5</v>
      </c>
      <c r="I855" s="358">
        <f t="shared" si="346"/>
        <v>100</v>
      </c>
    </row>
    <row r="856" spans="1:9" ht="26.4" x14ac:dyDescent="0.3">
      <c r="A856" s="36"/>
      <c r="B856" s="34"/>
      <c r="C856" s="35" t="s">
        <v>65</v>
      </c>
      <c r="D856" s="34"/>
      <c r="E856" s="33" t="s">
        <v>64</v>
      </c>
      <c r="F856" s="32">
        <f t="shared" si="350"/>
        <v>1139.5</v>
      </c>
      <c r="G856" s="32">
        <f t="shared" si="350"/>
        <v>1139.5</v>
      </c>
      <c r="H856" s="32">
        <f t="shared" si="350"/>
        <v>1139.5</v>
      </c>
      <c r="I856" s="351">
        <f t="shared" si="346"/>
        <v>100</v>
      </c>
    </row>
    <row r="857" spans="1:9" x14ac:dyDescent="0.3">
      <c r="A857" s="31"/>
      <c r="B857" s="31"/>
      <c r="C857" s="31" t="s">
        <v>63</v>
      </c>
      <c r="D857" s="31"/>
      <c r="E857" s="52" t="s">
        <v>62</v>
      </c>
      <c r="F857" s="29">
        <f t="shared" si="350"/>
        <v>1139.5</v>
      </c>
      <c r="G857" s="29">
        <f t="shared" si="350"/>
        <v>1139.5</v>
      </c>
      <c r="H857" s="29">
        <f t="shared" si="350"/>
        <v>1139.5</v>
      </c>
      <c r="I857" s="352">
        <f t="shared" si="346"/>
        <v>100</v>
      </c>
    </row>
    <row r="858" spans="1:9" ht="40.200000000000003" x14ac:dyDescent="0.3">
      <c r="A858" s="190"/>
      <c r="B858" s="190"/>
      <c r="C858" s="190" t="s">
        <v>61</v>
      </c>
      <c r="D858" s="190"/>
      <c r="E858" s="191" t="s">
        <v>60</v>
      </c>
      <c r="F858" s="192">
        <f t="shared" si="350"/>
        <v>1139.5</v>
      </c>
      <c r="G858" s="192">
        <f t="shared" si="350"/>
        <v>1139.5</v>
      </c>
      <c r="H858" s="192">
        <f t="shared" si="350"/>
        <v>1139.5</v>
      </c>
      <c r="I858" s="353">
        <f t="shared" si="346"/>
        <v>100</v>
      </c>
    </row>
    <row r="859" spans="1:9" x14ac:dyDescent="0.3">
      <c r="A859" s="8"/>
      <c r="B859" s="8"/>
      <c r="C859" s="7" t="s">
        <v>59</v>
      </c>
      <c r="D859" s="7"/>
      <c r="E859" s="6" t="s">
        <v>58</v>
      </c>
      <c r="F859" s="9">
        <f t="shared" si="350"/>
        <v>1139.5</v>
      </c>
      <c r="G859" s="9">
        <f t="shared" si="350"/>
        <v>1139.5</v>
      </c>
      <c r="H859" s="9">
        <f t="shared" si="350"/>
        <v>1139.5</v>
      </c>
      <c r="I859" s="354">
        <f t="shared" si="346"/>
        <v>100</v>
      </c>
    </row>
    <row r="860" spans="1:9" ht="27" x14ac:dyDescent="0.3">
      <c r="A860" s="8"/>
      <c r="B860" s="8"/>
      <c r="C860" s="7"/>
      <c r="D860" s="7" t="s">
        <v>57</v>
      </c>
      <c r="E860" s="6" t="s">
        <v>56</v>
      </c>
      <c r="F860" s="9">
        <f>1042.6+96.9</f>
        <v>1139.5</v>
      </c>
      <c r="G860" s="9">
        <f t="shared" ref="G860:H860" si="351">1042.6+96.9</f>
        <v>1139.5</v>
      </c>
      <c r="H860" s="9">
        <f t="shared" si="351"/>
        <v>1139.5</v>
      </c>
      <c r="I860" s="354">
        <f t="shared" si="346"/>
        <v>100</v>
      </c>
    </row>
    <row r="861" spans="1:9" x14ac:dyDescent="0.3">
      <c r="A861" s="40">
        <v>636</v>
      </c>
      <c r="B861" s="42"/>
      <c r="C861" s="41"/>
      <c r="D861" s="40"/>
      <c r="E861" s="39" t="s">
        <v>55</v>
      </c>
      <c r="F861" s="38">
        <f t="shared" ref="F861:H863" si="352">F862</f>
        <v>3493.2000000000003</v>
      </c>
      <c r="G861" s="38">
        <f t="shared" si="352"/>
        <v>3493.2000000000003</v>
      </c>
      <c r="H861" s="38">
        <f t="shared" si="352"/>
        <v>3493.2000000000003</v>
      </c>
      <c r="I861" s="349">
        <f t="shared" si="346"/>
        <v>100</v>
      </c>
    </row>
    <row r="862" spans="1:9" x14ac:dyDescent="0.3">
      <c r="A862" s="37"/>
      <c r="B862" s="23" t="s">
        <v>40</v>
      </c>
      <c r="C862" s="22"/>
      <c r="D862" s="21"/>
      <c r="E862" s="20" t="s">
        <v>39</v>
      </c>
      <c r="F862" s="27">
        <f t="shared" si="352"/>
        <v>3493.2000000000003</v>
      </c>
      <c r="G862" s="27">
        <f t="shared" si="352"/>
        <v>3493.2000000000003</v>
      </c>
      <c r="H862" s="27">
        <f t="shared" si="352"/>
        <v>3493.2000000000003</v>
      </c>
      <c r="I862" s="358">
        <f t="shared" si="346"/>
        <v>100</v>
      </c>
    </row>
    <row r="863" spans="1:9" ht="26.4" x14ac:dyDescent="0.3">
      <c r="A863" s="37"/>
      <c r="B863" s="23" t="s">
        <v>54</v>
      </c>
      <c r="C863" s="22"/>
      <c r="D863" s="23"/>
      <c r="E863" s="28" t="s">
        <v>53</v>
      </c>
      <c r="F863" s="27">
        <f t="shared" si="352"/>
        <v>3493.2000000000003</v>
      </c>
      <c r="G863" s="27">
        <f t="shared" si="352"/>
        <v>3493.2000000000003</v>
      </c>
      <c r="H863" s="27">
        <f t="shared" si="352"/>
        <v>3493.2000000000003</v>
      </c>
      <c r="I863" s="358">
        <f t="shared" si="346"/>
        <v>100</v>
      </c>
    </row>
    <row r="864" spans="1:9" x14ac:dyDescent="0.3">
      <c r="A864" s="51"/>
      <c r="B864" s="50"/>
      <c r="C864" s="49" t="s">
        <v>52</v>
      </c>
      <c r="D864" s="48"/>
      <c r="E864" s="47" t="s">
        <v>51</v>
      </c>
      <c r="F864" s="16">
        <f>F865+F873</f>
        <v>3493.2000000000003</v>
      </c>
      <c r="G864" s="16">
        <f t="shared" ref="G864:H864" si="353">G865+G873</f>
        <v>3493.2000000000003</v>
      </c>
      <c r="H864" s="16">
        <f t="shared" si="353"/>
        <v>3493.2000000000003</v>
      </c>
      <c r="I864" s="366">
        <f t="shared" si="346"/>
        <v>100</v>
      </c>
    </row>
    <row r="865" spans="1:9" s="24" customFormat="1" ht="27" x14ac:dyDescent="0.3">
      <c r="A865" s="25"/>
      <c r="B865" s="25"/>
      <c r="C865" s="45" t="s">
        <v>50</v>
      </c>
      <c r="D865" s="46"/>
      <c r="E865" s="14" t="s">
        <v>49</v>
      </c>
      <c r="F865" s="13">
        <f>F866+F868+F871</f>
        <v>3343.2000000000003</v>
      </c>
      <c r="G865" s="13">
        <f t="shared" ref="G865:H865" si="354">G866+G868+G871</f>
        <v>3343.2000000000003</v>
      </c>
      <c r="H865" s="13">
        <f t="shared" si="354"/>
        <v>3343.2000000000003</v>
      </c>
      <c r="I865" s="367">
        <f t="shared" si="346"/>
        <v>100</v>
      </c>
    </row>
    <row r="866" spans="1:9" ht="27" x14ac:dyDescent="0.3">
      <c r="A866" s="8"/>
      <c r="B866" s="8"/>
      <c r="C866" s="7" t="s">
        <v>48</v>
      </c>
      <c r="D866" s="7"/>
      <c r="E866" s="6" t="s">
        <v>47</v>
      </c>
      <c r="F866" s="9">
        <v>1164</v>
      </c>
      <c r="G866" s="9">
        <v>1164</v>
      </c>
      <c r="H866" s="9">
        <v>1164</v>
      </c>
      <c r="I866" s="354">
        <f t="shared" si="346"/>
        <v>100</v>
      </c>
    </row>
    <row r="867" spans="1:9" ht="40.200000000000003" x14ac:dyDescent="0.3">
      <c r="A867" s="8"/>
      <c r="B867" s="8"/>
      <c r="C867" s="7"/>
      <c r="D867" s="7" t="s">
        <v>2</v>
      </c>
      <c r="E867" s="6" t="s">
        <v>1</v>
      </c>
      <c r="F867" s="5">
        <v>1164</v>
      </c>
      <c r="G867" s="5">
        <v>1164</v>
      </c>
      <c r="H867" s="5">
        <v>1164</v>
      </c>
      <c r="I867" s="359">
        <f t="shared" si="346"/>
        <v>100</v>
      </c>
    </row>
    <row r="868" spans="1:9" ht="27" x14ac:dyDescent="0.3">
      <c r="A868" s="8"/>
      <c r="B868" s="8"/>
      <c r="C868" s="7" t="s">
        <v>46</v>
      </c>
      <c r="D868" s="7"/>
      <c r="E868" s="12" t="s">
        <v>45</v>
      </c>
      <c r="F868" s="5">
        <f>F869+F870</f>
        <v>2091.9</v>
      </c>
      <c r="G868" s="5">
        <f t="shared" ref="G868:H868" si="355">G869+G870</f>
        <v>2091.9</v>
      </c>
      <c r="H868" s="5">
        <f t="shared" si="355"/>
        <v>2091.9</v>
      </c>
      <c r="I868" s="359">
        <f t="shared" si="346"/>
        <v>100</v>
      </c>
    </row>
    <row r="869" spans="1:9" ht="40.200000000000003" x14ac:dyDescent="0.3">
      <c r="A869" s="8"/>
      <c r="B869" s="8"/>
      <c r="C869" s="7"/>
      <c r="D869" s="7" t="s">
        <v>2</v>
      </c>
      <c r="E869" s="6" t="s">
        <v>1</v>
      </c>
      <c r="F869" s="5">
        <f>1960.1+77.4</f>
        <v>2037.5</v>
      </c>
      <c r="G869" s="5">
        <f t="shared" ref="G869:H869" si="356">1960.1+77.4</f>
        <v>2037.5</v>
      </c>
      <c r="H869" s="5">
        <f t="shared" si="356"/>
        <v>2037.5</v>
      </c>
      <c r="I869" s="359">
        <f t="shared" si="346"/>
        <v>100</v>
      </c>
    </row>
    <row r="870" spans="1:9" x14ac:dyDescent="0.3">
      <c r="A870" s="8"/>
      <c r="B870" s="8"/>
      <c r="C870" s="7"/>
      <c r="D870" s="7" t="s">
        <v>12</v>
      </c>
      <c r="E870" s="6" t="s">
        <v>11</v>
      </c>
      <c r="F870" s="9">
        <v>54.4</v>
      </c>
      <c r="G870" s="9">
        <v>54.4</v>
      </c>
      <c r="H870" s="9">
        <v>54.4</v>
      </c>
      <c r="I870" s="354">
        <f t="shared" si="346"/>
        <v>100</v>
      </c>
    </row>
    <row r="871" spans="1:9" ht="40.200000000000003" x14ac:dyDescent="0.3">
      <c r="A871" s="8"/>
      <c r="B871" s="8"/>
      <c r="C871" s="7" t="s">
        <v>689</v>
      </c>
      <c r="D871" s="7"/>
      <c r="E871" s="6" t="s">
        <v>690</v>
      </c>
      <c r="F871" s="9">
        <f>F872</f>
        <v>87.3</v>
      </c>
      <c r="G871" s="9">
        <f t="shared" ref="G871:H871" si="357">G872</f>
        <v>87.3</v>
      </c>
      <c r="H871" s="9">
        <f t="shared" si="357"/>
        <v>87.3</v>
      </c>
      <c r="I871" s="354">
        <f t="shared" si="346"/>
        <v>100</v>
      </c>
    </row>
    <row r="872" spans="1:9" x14ac:dyDescent="0.3">
      <c r="A872" s="8"/>
      <c r="B872" s="8"/>
      <c r="C872" s="7"/>
      <c r="D872" s="7" t="s">
        <v>12</v>
      </c>
      <c r="E872" s="6" t="s">
        <v>11</v>
      </c>
      <c r="F872" s="9">
        <v>87.3</v>
      </c>
      <c r="G872" s="9">
        <v>87.3</v>
      </c>
      <c r="H872" s="9">
        <v>87.3</v>
      </c>
      <c r="I872" s="354">
        <f t="shared" si="346"/>
        <v>100</v>
      </c>
    </row>
    <row r="873" spans="1:9" ht="26.4" x14ac:dyDescent="0.3">
      <c r="A873" s="25"/>
      <c r="B873" s="25"/>
      <c r="C873" s="45" t="s">
        <v>16</v>
      </c>
      <c r="D873" s="44"/>
      <c r="E873" s="43" t="s">
        <v>44</v>
      </c>
      <c r="F873" s="13">
        <f t="shared" ref="F873:H874" si="358">F874</f>
        <v>150</v>
      </c>
      <c r="G873" s="13">
        <f t="shared" si="358"/>
        <v>150</v>
      </c>
      <c r="H873" s="13">
        <f t="shared" si="358"/>
        <v>150</v>
      </c>
      <c r="I873" s="367">
        <f t="shared" si="346"/>
        <v>100</v>
      </c>
    </row>
    <row r="874" spans="1:9" ht="27" x14ac:dyDescent="0.3">
      <c r="A874" s="8"/>
      <c r="B874" s="8"/>
      <c r="C874" s="7" t="s">
        <v>43</v>
      </c>
      <c r="D874" s="7"/>
      <c r="E874" s="6" t="s">
        <v>42</v>
      </c>
      <c r="F874" s="9">
        <f t="shared" si="358"/>
        <v>150</v>
      </c>
      <c r="G874" s="9">
        <f t="shared" si="358"/>
        <v>150</v>
      </c>
      <c r="H874" s="9">
        <f t="shared" si="358"/>
        <v>150</v>
      </c>
      <c r="I874" s="354">
        <f t="shared" si="346"/>
        <v>100</v>
      </c>
    </row>
    <row r="875" spans="1:9" x14ac:dyDescent="0.3">
      <c r="A875" s="8"/>
      <c r="B875" s="8"/>
      <c r="C875" s="7"/>
      <c r="D875" s="7" t="s">
        <v>12</v>
      </c>
      <c r="E875" s="6" t="s">
        <v>11</v>
      </c>
      <c r="F875" s="9">
        <v>150</v>
      </c>
      <c r="G875" s="9">
        <v>150</v>
      </c>
      <c r="H875" s="9">
        <v>150</v>
      </c>
      <c r="I875" s="354">
        <f t="shared" si="346"/>
        <v>100</v>
      </c>
    </row>
    <row r="876" spans="1:9" ht="26.4" x14ac:dyDescent="0.3">
      <c r="A876" s="40">
        <v>651</v>
      </c>
      <c r="B876" s="42"/>
      <c r="C876" s="41"/>
      <c r="D876" s="40"/>
      <c r="E876" s="39" t="s">
        <v>41</v>
      </c>
      <c r="F876" s="38">
        <f t="shared" ref="F876:H876" si="359">F877</f>
        <v>35736.440490000008</v>
      </c>
      <c r="G876" s="38">
        <f t="shared" si="359"/>
        <v>34893.405210000004</v>
      </c>
      <c r="H876" s="38">
        <f t="shared" si="359"/>
        <v>34732.625690000001</v>
      </c>
      <c r="I876" s="349">
        <f t="shared" si="346"/>
        <v>99.539226627403139</v>
      </c>
    </row>
    <row r="877" spans="1:9" x14ac:dyDescent="0.3">
      <c r="A877" s="37"/>
      <c r="B877" s="23" t="s">
        <v>40</v>
      </c>
      <c r="C877" s="22"/>
      <c r="D877" s="21"/>
      <c r="E877" s="20" t="s">
        <v>39</v>
      </c>
      <c r="F877" s="27">
        <f t="shared" ref="F877:H877" si="360">F878+F890+F895</f>
        <v>35736.440490000008</v>
      </c>
      <c r="G877" s="27">
        <f t="shared" si="360"/>
        <v>34893.405210000004</v>
      </c>
      <c r="H877" s="27">
        <f t="shared" si="360"/>
        <v>34732.625690000001</v>
      </c>
      <c r="I877" s="358">
        <f t="shared" si="346"/>
        <v>99.539226627403139</v>
      </c>
    </row>
    <row r="878" spans="1:9" ht="26.4" x14ac:dyDescent="0.3">
      <c r="A878" s="37"/>
      <c r="B878" s="23" t="s">
        <v>38</v>
      </c>
      <c r="C878" s="22"/>
      <c r="D878" s="21"/>
      <c r="E878" s="20" t="s">
        <v>37</v>
      </c>
      <c r="F878" s="27">
        <f t="shared" ref="F878:H878" si="361">F879+F886</f>
        <v>8599.0562900000023</v>
      </c>
      <c r="G878" s="27">
        <f t="shared" si="361"/>
        <v>8599.0562900000004</v>
      </c>
      <c r="H878" s="27">
        <f t="shared" si="361"/>
        <v>8599.0562900000004</v>
      </c>
      <c r="I878" s="358">
        <f t="shared" si="346"/>
        <v>100</v>
      </c>
    </row>
    <row r="879" spans="1:9" x14ac:dyDescent="0.3">
      <c r="A879" s="37"/>
      <c r="B879" s="23"/>
      <c r="C879" s="22" t="s">
        <v>36</v>
      </c>
      <c r="D879" s="21"/>
      <c r="E879" s="20" t="s">
        <v>35</v>
      </c>
      <c r="F879" s="27">
        <f t="shared" ref="F879:H879" si="362">F881</f>
        <v>8507.4000000000015</v>
      </c>
      <c r="G879" s="27">
        <f t="shared" si="362"/>
        <v>8507.4</v>
      </c>
      <c r="H879" s="27">
        <f t="shared" si="362"/>
        <v>8507.4</v>
      </c>
      <c r="I879" s="358">
        <f t="shared" si="346"/>
        <v>100</v>
      </c>
    </row>
    <row r="880" spans="1:9" ht="26.4" x14ac:dyDescent="0.3">
      <c r="A880" s="36"/>
      <c r="B880" s="34"/>
      <c r="C880" s="35" t="s">
        <v>34</v>
      </c>
      <c r="D880" s="34"/>
      <c r="E880" s="33" t="s">
        <v>33</v>
      </c>
      <c r="F880" s="32">
        <f t="shared" ref="F880:H882" si="363">F881</f>
        <v>8507.4000000000015</v>
      </c>
      <c r="G880" s="32">
        <f t="shared" si="363"/>
        <v>8507.4</v>
      </c>
      <c r="H880" s="32">
        <f t="shared" si="363"/>
        <v>8507.4</v>
      </c>
      <c r="I880" s="351">
        <f t="shared" si="346"/>
        <v>100</v>
      </c>
    </row>
    <row r="881" spans="1:9" ht="27" x14ac:dyDescent="0.3">
      <c r="A881" s="31"/>
      <c r="B881" s="31"/>
      <c r="C881" s="31" t="s">
        <v>32</v>
      </c>
      <c r="D881" s="31"/>
      <c r="E881" s="30" t="s">
        <v>31</v>
      </c>
      <c r="F881" s="29">
        <f t="shared" si="363"/>
        <v>8507.4000000000015</v>
      </c>
      <c r="G881" s="29">
        <f t="shared" si="363"/>
        <v>8507.4</v>
      </c>
      <c r="H881" s="29">
        <f t="shared" si="363"/>
        <v>8507.4</v>
      </c>
      <c r="I881" s="352">
        <f t="shared" si="346"/>
        <v>100</v>
      </c>
    </row>
    <row r="882" spans="1:9" ht="40.200000000000003" x14ac:dyDescent="0.3">
      <c r="A882" s="190"/>
      <c r="B882" s="190"/>
      <c r="C882" s="190" t="s">
        <v>30</v>
      </c>
      <c r="D882" s="190"/>
      <c r="E882" s="191" t="s">
        <v>29</v>
      </c>
      <c r="F882" s="192">
        <f t="shared" si="363"/>
        <v>8507.4000000000015</v>
      </c>
      <c r="G882" s="192">
        <f t="shared" si="363"/>
        <v>8507.4</v>
      </c>
      <c r="H882" s="192">
        <f t="shared" si="363"/>
        <v>8507.4</v>
      </c>
      <c r="I882" s="353">
        <f t="shared" si="346"/>
        <v>100</v>
      </c>
    </row>
    <row r="883" spans="1:9" ht="26.4" x14ac:dyDescent="0.3">
      <c r="A883" s="8"/>
      <c r="B883" s="8"/>
      <c r="C883" s="7" t="s">
        <v>28</v>
      </c>
      <c r="D883" s="7"/>
      <c r="E883" s="10" t="s">
        <v>27</v>
      </c>
      <c r="F883" s="9">
        <f t="shared" ref="F883:H883" si="364">F884+F885</f>
        <v>8507.4000000000015</v>
      </c>
      <c r="G883" s="9">
        <f t="shared" si="364"/>
        <v>8507.4</v>
      </c>
      <c r="H883" s="9">
        <f t="shared" si="364"/>
        <v>8507.4</v>
      </c>
      <c r="I883" s="354">
        <f t="shared" si="346"/>
        <v>100</v>
      </c>
    </row>
    <row r="884" spans="1:9" ht="40.200000000000003" x14ac:dyDescent="0.3">
      <c r="A884" s="8"/>
      <c r="B884" s="8"/>
      <c r="C884" s="7"/>
      <c r="D884" s="7" t="s">
        <v>2</v>
      </c>
      <c r="E884" s="6" t="s">
        <v>1</v>
      </c>
      <c r="F884" s="9">
        <f>7683.3+295.3-33.7</f>
        <v>7944.9000000000005</v>
      </c>
      <c r="G884" s="9">
        <v>8021.0396499999997</v>
      </c>
      <c r="H884" s="9">
        <v>8021.0396499999997</v>
      </c>
      <c r="I884" s="354">
        <f t="shared" si="346"/>
        <v>100</v>
      </c>
    </row>
    <row r="885" spans="1:9" x14ac:dyDescent="0.3">
      <c r="A885" s="8"/>
      <c r="B885" s="8"/>
      <c r="C885" s="7"/>
      <c r="D885" s="7" t="s">
        <v>12</v>
      </c>
      <c r="E885" s="6" t="s">
        <v>11</v>
      </c>
      <c r="F885" s="9">
        <v>562.5</v>
      </c>
      <c r="G885" s="9">
        <v>486.36034999999998</v>
      </c>
      <c r="H885" s="9">
        <v>486.36034999999998</v>
      </c>
      <c r="I885" s="354">
        <f t="shared" si="346"/>
        <v>100</v>
      </c>
    </row>
    <row r="886" spans="1:9" x14ac:dyDescent="0.3">
      <c r="A886" s="112"/>
      <c r="B886" s="112"/>
      <c r="C886" s="49" t="s">
        <v>52</v>
      </c>
      <c r="D886" s="48"/>
      <c r="E886" s="47" t="s">
        <v>51</v>
      </c>
      <c r="F886" s="110">
        <f t="shared" ref="F886:H888" si="365">F887</f>
        <v>91.656289999999998</v>
      </c>
      <c r="G886" s="110">
        <f t="shared" si="365"/>
        <v>91.656289999999998</v>
      </c>
      <c r="H886" s="110">
        <f t="shared" si="365"/>
        <v>91.656289999999998</v>
      </c>
      <c r="I886" s="355">
        <f t="shared" si="346"/>
        <v>100</v>
      </c>
    </row>
    <row r="887" spans="1:9" ht="26.4" x14ac:dyDescent="0.3">
      <c r="A887" s="124"/>
      <c r="B887" s="124"/>
      <c r="C887" s="123" t="s">
        <v>16</v>
      </c>
      <c r="D887" s="122"/>
      <c r="E887" s="121" t="s">
        <v>44</v>
      </c>
      <c r="F887" s="120">
        <f t="shared" si="365"/>
        <v>91.656289999999998</v>
      </c>
      <c r="G887" s="120">
        <f t="shared" si="365"/>
        <v>91.656289999999998</v>
      </c>
      <c r="H887" s="120">
        <f t="shared" si="365"/>
        <v>91.656289999999998</v>
      </c>
      <c r="I887" s="356">
        <f t="shared" si="346"/>
        <v>100</v>
      </c>
    </row>
    <row r="888" spans="1:9" x14ac:dyDescent="0.3">
      <c r="A888" s="343"/>
      <c r="B888" s="343"/>
      <c r="C888" s="342" t="s">
        <v>848</v>
      </c>
      <c r="D888" s="267"/>
      <c r="E888" s="270" t="s">
        <v>847</v>
      </c>
      <c r="F888" s="344">
        <f>F889</f>
        <v>91.656289999999998</v>
      </c>
      <c r="G888" s="344">
        <f t="shared" si="365"/>
        <v>91.656289999999998</v>
      </c>
      <c r="H888" s="344">
        <f t="shared" si="365"/>
        <v>91.656289999999998</v>
      </c>
      <c r="I888" s="357">
        <f t="shared" si="346"/>
        <v>100</v>
      </c>
    </row>
    <row r="889" spans="1:9" ht="40.200000000000003" x14ac:dyDescent="0.3">
      <c r="A889" s="343"/>
      <c r="B889" s="343"/>
      <c r="C889" s="342"/>
      <c r="D889" s="7" t="s">
        <v>2</v>
      </c>
      <c r="E889" s="6" t="s">
        <v>1</v>
      </c>
      <c r="F889" s="344">
        <v>91.656289999999998</v>
      </c>
      <c r="G889" s="344">
        <v>91.656289999999998</v>
      </c>
      <c r="H889" s="344">
        <v>91.656289999999998</v>
      </c>
      <c r="I889" s="357">
        <f t="shared" si="346"/>
        <v>100</v>
      </c>
    </row>
    <row r="890" spans="1:9" x14ac:dyDescent="0.3">
      <c r="A890" s="8"/>
      <c r="B890" s="23" t="s">
        <v>26</v>
      </c>
      <c r="C890" s="22"/>
      <c r="D890" s="23"/>
      <c r="E890" s="28" t="s">
        <v>25</v>
      </c>
      <c r="F890" s="27">
        <f t="shared" ref="F890:H893" si="366">F891</f>
        <v>1008.6</v>
      </c>
      <c r="G890" s="27">
        <f t="shared" si="366"/>
        <v>160.77951999999999</v>
      </c>
      <c r="H890" s="27">
        <f t="shared" si="366"/>
        <v>0</v>
      </c>
      <c r="I890" s="358">
        <f t="shared" si="346"/>
        <v>0</v>
      </c>
    </row>
    <row r="891" spans="1:9" s="24" customFormat="1" x14ac:dyDescent="0.3">
      <c r="A891" s="26"/>
      <c r="B891" s="26"/>
      <c r="C891" s="18" t="s">
        <v>18</v>
      </c>
      <c r="D891" s="18"/>
      <c r="E891" s="17" t="s">
        <v>17</v>
      </c>
      <c r="F891" s="16">
        <f t="shared" si="366"/>
        <v>1008.6</v>
      </c>
      <c r="G891" s="16">
        <f t="shared" si="366"/>
        <v>160.77951999999999</v>
      </c>
      <c r="H891" s="16">
        <f t="shared" si="366"/>
        <v>0</v>
      </c>
      <c r="I891" s="366">
        <f t="shared" si="346"/>
        <v>0</v>
      </c>
    </row>
    <row r="892" spans="1:9" s="24" customFormat="1" ht="27" x14ac:dyDescent="0.3">
      <c r="A892" s="25"/>
      <c r="B892" s="25"/>
      <c r="C892" s="15" t="s">
        <v>16</v>
      </c>
      <c r="D892" s="15"/>
      <c r="E892" s="14" t="s">
        <v>15</v>
      </c>
      <c r="F892" s="13">
        <f t="shared" si="366"/>
        <v>1008.6</v>
      </c>
      <c r="G892" s="13">
        <f t="shared" si="366"/>
        <v>160.77951999999999</v>
      </c>
      <c r="H892" s="13">
        <f t="shared" si="366"/>
        <v>0</v>
      </c>
      <c r="I892" s="367">
        <f t="shared" si="346"/>
        <v>0</v>
      </c>
    </row>
    <row r="893" spans="1:9" x14ac:dyDescent="0.3">
      <c r="A893" s="8"/>
      <c r="B893" s="8"/>
      <c r="C893" s="7" t="s">
        <v>24</v>
      </c>
      <c r="D893" s="7"/>
      <c r="E893" s="6" t="s">
        <v>23</v>
      </c>
      <c r="F893" s="9">
        <f t="shared" si="366"/>
        <v>1008.6</v>
      </c>
      <c r="G893" s="9">
        <f t="shared" si="366"/>
        <v>160.77951999999999</v>
      </c>
      <c r="H893" s="9">
        <f t="shared" si="366"/>
        <v>0</v>
      </c>
      <c r="I893" s="354">
        <f t="shared" si="346"/>
        <v>0</v>
      </c>
    </row>
    <row r="894" spans="1:9" x14ac:dyDescent="0.3">
      <c r="A894" s="8"/>
      <c r="B894" s="8"/>
      <c r="C894" s="7"/>
      <c r="D894" s="7" t="s">
        <v>22</v>
      </c>
      <c r="E894" s="6" t="s">
        <v>21</v>
      </c>
      <c r="F894" s="9">
        <f>711.6+297</f>
        <v>1008.6</v>
      </c>
      <c r="G894" s="9">
        <v>160.77951999999999</v>
      </c>
      <c r="H894" s="9">
        <v>0</v>
      </c>
      <c r="I894" s="354">
        <f t="shared" si="346"/>
        <v>0</v>
      </c>
    </row>
    <row r="895" spans="1:9" x14ac:dyDescent="0.3">
      <c r="A895" s="21"/>
      <c r="B895" s="23" t="s">
        <v>20</v>
      </c>
      <c r="C895" s="22"/>
      <c r="D895" s="21"/>
      <c r="E895" s="20" t="s">
        <v>19</v>
      </c>
      <c r="F895" s="19">
        <f>F896+F926</f>
        <v>26128.784200000006</v>
      </c>
      <c r="G895" s="19">
        <f t="shared" ref="G895:H895" si="367">G896+G926</f>
        <v>26133.569400000004</v>
      </c>
      <c r="H895" s="19">
        <f t="shared" si="367"/>
        <v>26133.569400000004</v>
      </c>
      <c r="I895" s="362">
        <f t="shared" si="346"/>
        <v>100</v>
      </c>
    </row>
    <row r="896" spans="1:9" x14ac:dyDescent="0.3">
      <c r="A896" s="18"/>
      <c r="B896" s="18"/>
      <c r="C896" s="18" t="s">
        <v>18</v>
      </c>
      <c r="D896" s="18"/>
      <c r="E896" s="17" t="s">
        <v>17</v>
      </c>
      <c r="F896" s="16">
        <f>F897</f>
        <v>26128.784200000006</v>
      </c>
      <c r="G896" s="16">
        <f t="shared" ref="G896:H896" si="368">G897</f>
        <v>26133.569400000004</v>
      </c>
      <c r="H896" s="16">
        <f t="shared" si="368"/>
        <v>26133.569400000004</v>
      </c>
      <c r="I896" s="366">
        <f t="shared" si="346"/>
        <v>100</v>
      </c>
    </row>
    <row r="897" spans="1:9" ht="27" x14ac:dyDescent="0.3">
      <c r="A897" s="15"/>
      <c r="B897" s="15"/>
      <c r="C897" s="15" t="s">
        <v>16</v>
      </c>
      <c r="D897" s="15"/>
      <c r="E897" s="14" t="s">
        <v>15</v>
      </c>
      <c r="F897" s="13">
        <f>F898+F901+F903+F905+F907</f>
        <v>26128.784200000006</v>
      </c>
      <c r="G897" s="13">
        <f t="shared" ref="G897:H897" si="369">G898+G901+G903+G905+G907</f>
        <v>26133.569400000004</v>
      </c>
      <c r="H897" s="13">
        <f t="shared" si="369"/>
        <v>26133.569400000004</v>
      </c>
      <c r="I897" s="367">
        <f t="shared" si="346"/>
        <v>100</v>
      </c>
    </row>
    <row r="898" spans="1:9" ht="18.75" customHeight="1" x14ac:dyDescent="0.3">
      <c r="A898" s="8"/>
      <c r="B898" s="8"/>
      <c r="C898" s="7" t="s">
        <v>14</v>
      </c>
      <c r="D898" s="7"/>
      <c r="E898" s="12" t="s">
        <v>13</v>
      </c>
      <c r="F898" s="9">
        <f>F899+F900</f>
        <v>18660</v>
      </c>
      <c r="G898" s="9">
        <f t="shared" ref="G898:H898" si="370">G899+G900</f>
        <v>18660</v>
      </c>
      <c r="H898" s="9">
        <f t="shared" si="370"/>
        <v>18660</v>
      </c>
      <c r="I898" s="354">
        <f t="shared" ref="I898:I909" si="371">H898/G898*100</f>
        <v>100</v>
      </c>
    </row>
    <row r="899" spans="1:9" ht="40.200000000000003" x14ac:dyDescent="0.3">
      <c r="A899" s="8"/>
      <c r="B899" s="8"/>
      <c r="C899" s="7"/>
      <c r="D899" s="7" t="s">
        <v>2</v>
      </c>
      <c r="E899" s="6" t="s">
        <v>1</v>
      </c>
      <c r="F899" s="11">
        <f>17135.8+626.7</f>
        <v>17762.5</v>
      </c>
      <c r="G899" s="11">
        <f t="shared" ref="G899:H899" si="372">17135.8+626.7</f>
        <v>17762.5</v>
      </c>
      <c r="H899" s="11">
        <f t="shared" si="372"/>
        <v>17762.5</v>
      </c>
      <c r="I899" s="389">
        <f t="shared" si="371"/>
        <v>100</v>
      </c>
    </row>
    <row r="900" spans="1:9" x14ac:dyDescent="0.3">
      <c r="A900" s="8"/>
      <c r="B900" s="8"/>
      <c r="C900" s="7"/>
      <c r="D900" s="7" t="s">
        <v>12</v>
      </c>
      <c r="E900" s="6" t="s">
        <v>11</v>
      </c>
      <c r="F900" s="9">
        <v>897.5</v>
      </c>
      <c r="G900" s="9">
        <v>897.5</v>
      </c>
      <c r="H900" s="9">
        <v>897.5</v>
      </c>
      <c r="I900" s="354">
        <f t="shared" si="371"/>
        <v>100</v>
      </c>
    </row>
    <row r="901" spans="1:9" ht="40.200000000000003" x14ac:dyDescent="0.3">
      <c r="A901" s="8"/>
      <c r="B901" s="8"/>
      <c r="C901" s="7" t="s">
        <v>10</v>
      </c>
      <c r="D901" s="7"/>
      <c r="E901" s="6" t="s">
        <v>9</v>
      </c>
      <c r="F901" s="9">
        <f>F902</f>
        <v>137.19999999999999</v>
      </c>
      <c r="G901" s="9">
        <f t="shared" ref="G901:H901" si="373">G902</f>
        <v>137.19999999999999</v>
      </c>
      <c r="H901" s="9">
        <f t="shared" si="373"/>
        <v>137.19999999999999</v>
      </c>
      <c r="I901" s="354">
        <f t="shared" si="371"/>
        <v>100</v>
      </c>
    </row>
    <row r="902" spans="1:9" ht="40.200000000000003" x14ac:dyDescent="0.3">
      <c r="A902" s="8"/>
      <c r="B902" s="8"/>
      <c r="C902" s="7"/>
      <c r="D902" s="7" t="s">
        <v>2</v>
      </c>
      <c r="E902" s="6" t="s">
        <v>1</v>
      </c>
      <c r="F902" s="9">
        <v>137.19999999999999</v>
      </c>
      <c r="G902" s="9">
        <v>137.19999999999999</v>
      </c>
      <c r="H902" s="9">
        <v>137.19999999999999</v>
      </c>
      <c r="I902" s="354">
        <f t="shared" si="371"/>
        <v>100</v>
      </c>
    </row>
    <row r="903" spans="1:9" ht="26.4" x14ac:dyDescent="0.3">
      <c r="A903" s="8"/>
      <c r="B903" s="8"/>
      <c r="C903" s="7" t="s">
        <v>8</v>
      </c>
      <c r="D903" s="7"/>
      <c r="E903" s="10" t="s">
        <v>7</v>
      </c>
      <c r="F903" s="5">
        <f>F904</f>
        <v>87.119200000000006</v>
      </c>
      <c r="G903" s="5">
        <f t="shared" ref="G903:H903" si="374">G904</f>
        <v>91.904399999999995</v>
      </c>
      <c r="H903" s="5">
        <f t="shared" si="374"/>
        <v>91.904399999999995</v>
      </c>
      <c r="I903" s="359">
        <f t="shared" si="371"/>
        <v>100</v>
      </c>
    </row>
    <row r="904" spans="1:9" ht="40.200000000000003" x14ac:dyDescent="0.3">
      <c r="A904" s="8"/>
      <c r="B904" s="8"/>
      <c r="C904" s="7"/>
      <c r="D904" s="7" t="s">
        <v>2</v>
      </c>
      <c r="E904" s="6" t="s">
        <v>1</v>
      </c>
      <c r="F904" s="9">
        <v>87.119200000000006</v>
      </c>
      <c r="G904" s="9">
        <v>91.904399999999995</v>
      </c>
      <c r="H904" s="9">
        <v>91.904399999999995</v>
      </c>
      <c r="I904" s="354">
        <f t="shared" si="371"/>
        <v>100</v>
      </c>
    </row>
    <row r="905" spans="1:9" ht="40.200000000000003" x14ac:dyDescent="0.3">
      <c r="A905" s="8"/>
      <c r="B905" s="8"/>
      <c r="C905" s="7" t="s">
        <v>6</v>
      </c>
      <c r="D905" s="7"/>
      <c r="E905" s="6" t="s">
        <v>5</v>
      </c>
      <c r="F905" s="9">
        <f>F906</f>
        <v>7016.6360000000004</v>
      </c>
      <c r="G905" s="9">
        <f t="shared" ref="G905:H905" si="375">G906</f>
        <v>7016.6360000000004</v>
      </c>
      <c r="H905" s="9">
        <f t="shared" si="375"/>
        <v>7016.6360000000004</v>
      </c>
      <c r="I905" s="354">
        <f t="shared" si="371"/>
        <v>100</v>
      </c>
    </row>
    <row r="906" spans="1:9" ht="40.200000000000003" x14ac:dyDescent="0.3">
      <c r="A906" s="8"/>
      <c r="B906" s="8"/>
      <c r="C906" s="7"/>
      <c r="D906" s="7" t="s">
        <v>2</v>
      </c>
      <c r="E906" s="6" t="s">
        <v>1</v>
      </c>
      <c r="F906" s="9">
        <v>7016.6360000000004</v>
      </c>
      <c r="G906" s="9">
        <v>7016.6360000000004</v>
      </c>
      <c r="H906" s="9">
        <v>7016.6360000000004</v>
      </c>
      <c r="I906" s="354">
        <f t="shared" si="371"/>
        <v>100</v>
      </c>
    </row>
    <row r="907" spans="1:9" ht="53.4" x14ac:dyDescent="0.3">
      <c r="A907" s="8"/>
      <c r="B907" s="89"/>
      <c r="C907" s="7" t="s">
        <v>4</v>
      </c>
      <c r="D907" s="7"/>
      <c r="E907" s="6" t="s">
        <v>3</v>
      </c>
      <c r="F907" s="9">
        <f>F908</f>
        <v>227.82900000000001</v>
      </c>
      <c r="G907" s="9">
        <f t="shared" ref="G907:H907" si="376">G908</f>
        <v>227.82900000000001</v>
      </c>
      <c r="H907" s="9">
        <f t="shared" si="376"/>
        <v>227.82900000000001</v>
      </c>
      <c r="I907" s="354">
        <f t="shared" si="371"/>
        <v>100</v>
      </c>
    </row>
    <row r="908" spans="1:9" ht="40.200000000000003" x14ac:dyDescent="0.3">
      <c r="A908" s="8"/>
      <c r="B908" s="89"/>
      <c r="C908" s="7"/>
      <c r="D908" s="7" t="s">
        <v>2</v>
      </c>
      <c r="E908" s="6" t="s">
        <v>1</v>
      </c>
      <c r="F908" s="9">
        <v>227.82900000000001</v>
      </c>
      <c r="G908" s="9">
        <v>227.82900000000001</v>
      </c>
      <c r="H908" s="9">
        <v>227.82900000000001</v>
      </c>
      <c r="I908" s="354">
        <f t="shared" si="371"/>
        <v>100</v>
      </c>
    </row>
    <row r="909" spans="1:9" x14ac:dyDescent="0.3">
      <c r="A909" s="4"/>
      <c r="B909" s="4"/>
      <c r="C909" s="4"/>
      <c r="D909" s="4"/>
      <c r="E909" s="3" t="s">
        <v>0</v>
      </c>
      <c r="F909" s="2">
        <f>SUM(F876+F861+F736+F537+F10)</f>
        <v>1199521.2049400001</v>
      </c>
      <c r="G909" s="2">
        <f>SUM(G876+G861+G736+G537+G10)</f>
        <v>1363120.3638299999</v>
      </c>
      <c r="H909" s="2">
        <f>SUM(H876+H861+H736+H537+H10)</f>
        <v>1268542.5757799998</v>
      </c>
      <c r="I909" s="390">
        <f t="shared" si="371"/>
        <v>93.061670079943482</v>
      </c>
    </row>
  </sheetData>
  <autoFilter ref="A9:F909"/>
  <mergeCells count="5">
    <mergeCell ref="A7:I7"/>
    <mergeCell ref="A1:I1"/>
    <mergeCell ref="A2:I2"/>
    <mergeCell ref="A3:I3"/>
    <mergeCell ref="A4:I4"/>
  </mergeCells>
  <pageMargins left="1.1023622047244095" right="0.31496062992125984" top="0.55118110236220474" bottom="0.55118110236220474" header="0.31496062992125984" footer="0.31496062992125984"/>
  <pageSetup paperSize="9" scale="48" orientation="portrait" r:id="rId1"/>
  <rowBreaks count="1" manualBreakCount="1">
    <brk id="69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4"/>
  <sheetViews>
    <sheetView view="pageBreakPreview" zoomScale="95" zoomScaleSheetLayoutView="95" workbookViewId="0">
      <selection activeCell="A6" sqref="A6:E6"/>
    </sheetView>
  </sheetViews>
  <sheetFormatPr defaultColWidth="9.109375" defaultRowHeight="13.2" x14ac:dyDescent="0.25"/>
  <cols>
    <col min="1" max="1" width="10.33203125" style="453" customWidth="1"/>
    <col min="2" max="2" width="40.44140625" style="453" customWidth="1"/>
    <col min="3" max="4" width="15.88671875" style="453" customWidth="1"/>
    <col min="5" max="5" width="13.109375" style="453" customWidth="1"/>
    <col min="6" max="6" width="11.44140625" style="453" bestFit="1" customWidth="1"/>
    <col min="7" max="16384" width="9.109375" style="453"/>
  </cols>
  <sheetData>
    <row r="1" spans="1:6" s="449" customFormat="1" x14ac:dyDescent="0.25">
      <c r="A1" s="873"/>
      <c r="B1" s="873"/>
      <c r="C1" s="873"/>
      <c r="D1" s="873"/>
      <c r="E1" s="448" t="s">
        <v>886</v>
      </c>
      <c r="F1" s="448"/>
    </row>
    <row r="2" spans="1:6" s="449" customFormat="1" x14ac:dyDescent="0.25">
      <c r="A2" s="873" t="s">
        <v>887</v>
      </c>
      <c r="B2" s="873"/>
      <c r="C2" s="873"/>
      <c r="D2" s="873"/>
      <c r="E2" s="873"/>
      <c r="F2" s="448"/>
    </row>
    <row r="3" spans="1:6" s="449" customFormat="1" x14ac:dyDescent="0.25">
      <c r="A3" s="873" t="s">
        <v>1032</v>
      </c>
      <c r="B3" s="873"/>
      <c r="C3" s="873"/>
      <c r="D3" s="873"/>
      <c r="E3" s="873"/>
      <c r="F3" s="448"/>
    </row>
    <row r="4" spans="1:6" s="449" customFormat="1" ht="15" customHeight="1" x14ac:dyDescent="0.25">
      <c r="A4" s="874" t="s">
        <v>1561</v>
      </c>
      <c r="B4" s="874"/>
      <c r="C4" s="874"/>
      <c r="D4" s="874"/>
      <c r="E4" s="874"/>
      <c r="F4" s="450"/>
    </row>
    <row r="5" spans="1:6" s="449" customFormat="1" ht="15" customHeight="1" x14ac:dyDescent="0.25">
      <c r="A5" s="451"/>
      <c r="B5" s="451"/>
      <c r="C5" s="451"/>
      <c r="D5" s="451"/>
      <c r="E5" s="451"/>
      <c r="F5" s="450"/>
    </row>
    <row r="6" spans="1:6" ht="39.75" customHeight="1" x14ac:dyDescent="0.25">
      <c r="A6" s="875" t="s">
        <v>1449</v>
      </c>
      <c r="B6" s="875"/>
      <c r="C6" s="875"/>
      <c r="D6" s="875"/>
      <c r="E6" s="875"/>
      <c r="F6" s="452"/>
    </row>
    <row r="7" spans="1:6" ht="14.25" customHeight="1" x14ac:dyDescent="0.25">
      <c r="A7" s="454"/>
      <c r="B7" s="454"/>
      <c r="C7" s="454"/>
      <c r="D7" s="454"/>
      <c r="E7" s="455" t="s">
        <v>888</v>
      </c>
      <c r="F7" s="452"/>
    </row>
    <row r="8" spans="1:6" ht="26.4" x14ac:dyDescent="0.25">
      <c r="A8" s="456" t="s">
        <v>889</v>
      </c>
      <c r="B8" s="456" t="s">
        <v>890</v>
      </c>
      <c r="C8" s="457" t="s">
        <v>852</v>
      </c>
      <c r="D8" s="457" t="s">
        <v>891</v>
      </c>
      <c r="E8" s="458" t="s">
        <v>854</v>
      </c>
      <c r="F8" s="452"/>
    </row>
    <row r="9" spans="1:6" ht="39.6" x14ac:dyDescent="0.25">
      <c r="A9" s="456" t="s">
        <v>555</v>
      </c>
      <c r="B9" s="459" t="s">
        <v>554</v>
      </c>
      <c r="C9" s="460">
        <v>3691.1</v>
      </c>
      <c r="D9" s="460">
        <v>3691.1</v>
      </c>
      <c r="E9" s="461">
        <f>SUM(D9/C9*100)</f>
        <v>100</v>
      </c>
      <c r="F9" s="452"/>
    </row>
    <row r="10" spans="1:6" ht="52.8" x14ac:dyDescent="0.25">
      <c r="A10" s="456" t="s">
        <v>54</v>
      </c>
      <c r="B10" s="459" t="s">
        <v>53</v>
      </c>
      <c r="C10" s="462">
        <v>3493.2</v>
      </c>
      <c r="D10" s="462">
        <v>3493.2</v>
      </c>
      <c r="E10" s="461">
        <f t="shared" ref="E10:E52" si="0">SUM(D10/C10*100)</f>
        <v>100</v>
      </c>
      <c r="F10" s="452"/>
    </row>
    <row r="11" spans="1:6" ht="52.8" x14ac:dyDescent="0.25">
      <c r="A11" s="456" t="s">
        <v>551</v>
      </c>
      <c r="B11" s="459" t="s">
        <v>550</v>
      </c>
      <c r="C11" s="460">
        <v>51288.631159999997</v>
      </c>
      <c r="D11" s="460">
        <v>51274.033289999999</v>
      </c>
      <c r="E11" s="461">
        <f t="shared" si="0"/>
        <v>99.97153780541646</v>
      </c>
      <c r="F11" s="452"/>
    </row>
    <row r="12" spans="1:6" x14ac:dyDescent="0.25">
      <c r="A12" s="456" t="s">
        <v>534</v>
      </c>
      <c r="B12" s="459" t="s">
        <v>533</v>
      </c>
      <c r="C12" s="460">
        <v>2.2999999999999998</v>
      </c>
      <c r="D12" s="460">
        <v>2.2999999999999998</v>
      </c>
      <c r="E12" s="461">
        <f t="shared" si="0"/>
        <v>100</v>
      </c>
      <c r="F12" s="452"/>
    </row>
    <row r="13" spans="1:6" ht="61.5" customHeight="1" x14ac:dyDescent="0.25">
      <c r="A13" s="456" t="s">
        <v>38</v>
      </c>
      <c r="B13" s="459" t="s">
        <v>37</v>
      </c>
      <c r="C13" s="460">
        <v>8599.0562900000004</v>
      </c>
      <c r="D13" s="460">
        <v>8599.0562900000004</v>
      </c>
      <c r="E13" s="461">
        <f t="shared" si="0"/>
        <v>100</v>
      </c>
      <c r="F13" s="452"/>
    </row>
    <row r="14" spans="1:6" x14ac:dyDescent="0.25">
      <c r="A14" s="456" t="s">
        <v>26</v>
      </c>
      <c r="B14" s="459" t="s">
        <v>25</v>
      </c>
      <c r="C14" s="344">
        <v>160.77951999999999</v>
      </c>
      <c r="D14" s="460">
        <f>'[1]2. Расходы'!H922</f>
        <v>0</v>
      </c>
      <c r="E14" s="461">
        <f t="shared" si="0"/>
        <v>0</v>
      </c>
      <c r="F14" s="452"/>
    </row>
    <row r="15" spans="1:6" x14ac:dyDescent="0.25">
      <c r="A15" s="456" t="s">
        <v>20</v>
      </c>
      <c r="B15" s="459" t="s">
        <v>892</v>
      </c>
      <c r="C15" s="460">
        <v>73271.896529999998</v>
      </c>
      <c r="D15" s="460">
        <v>72883.521890000004</v>
      </c>
      <c r="E15" s="461">
        <f t="shared" si="0"/>
        <v>99.469954159244423</v>
      </c>
      <c r="F15" s="452"/>
    </row>
    <row r="16" spans="1:6" x14ac:dyDescent="0.25">
      <c r="A16" s="871" t="s">
        <v>893</v>
      </c>
      <c r="B16" s="872"/>
      <c r="C16" s="463">
        <f>SUM(C9:C15)</f>
        <v>140506.96350000001</v>
      </c>
      <c r="D16" s="463">
        <f>SUM(D9:D15)</f>
        <v>139943.21147000001</v>
      </c>
      <c r="E16" s="464">
        <f t="shared" si="0"/>
        <v>99.598772889288142</v>
      </c>
      <c r="F16" s="465"/>
    </row>
    <row r="17" spans="1:6" x14ac:dyDescent="0.25">
      <c r="A17" s="456" t="s">
        <v>501</v>
      </c>
      <c r="B17" s="466" t="s">
        <v>500</v>
      </c>
      <c r="C17" s="460">
        <v>1895.9</v>
      </c>
      <c r="D17" s="460">
        <v>1895.9</v>
      </c>
      <c r="E17" s="461">
        <f t="shared" si="0"/>
        <v>100</v>
      </c>
      <c r="F17" s="452"/>
    </row>
    <row r="18" spans="1:6" ht="15" customHeight="1" x14ac:dyDescent="0.25">
      <c r="A18" s="871" t="s">
        <v>894</v>
      </c>
      <c r="B18" s="876"/>
      <c r="C18" s="467">
        <f>SUM(C17)</f>
        <v>1895.9</v>
      </c>
      <c r="D18" s="467">
        <f>SUM(D17)</f>
        <v>1895.9</v>
      </c>
      <c r="E18" s="464">
        <f t="shared" si="0"/>
        <v>100</v>
      </c>
      <c r="F18" s="465"/>
    </row>
    <row r="19" spans="1:6" ht="39.6" x14ac:dyDescent="0.25">
      <c r="A19" s="456" t="s">
        <v>492</v>
      </c>
      <c r="B19" s="459" t="s">
        <v>895</v>
      </c>
      <c r="C19" s="460">
        <v>22997.392199999998</v>
      </c>
      <c r="D19" s="460">
        <v>22997.392199999998</v>
      </c>
      <c r="E19" s="461">
        <f t="shared" si="0"/>
        <v>100</v>
      </c>
      <c r="F19" s="452"/>
    </row>
    <row r="20" spans="1:6" ht="16.5" customHeight="1" x14ac:dyDescent="0.25">
      <c r="A20" s="456" t="s">
        <v>482</v>
      </c>
      <c r="B20" s="459" t="s">
        <v>481</v>
      </c>
      <c r="C20" s="460">
        <v>4041.8578000000002</v>
      </c>
      <c r="D20" s="460">
        <v>4036.7831799999999</v>
      </c>
      <c r="E20" s="461">
        <f t="shared" si="0"/>
        <v>99.874448329181689</v>
      </c>
      <c r="F20" s="452"/>
    </row>
    <row r="21" spans="1:6" ht="39.6" x14ac:dyDescent="0.25">
      <c r="A21" s="456" t="s">
        <v>472</v>
      </c>
      <c r="B21" s="459" t="s">
        <v>471</v>
      </c>
      <c r="C21" s="460">
        <v>1028.55</v>
      </c>
      <c r="D21" s="460">
        <v>1011.74222</v>
      </c>
      <c r="E21" s="461">
        <f t="shared" si="0"/>
        <v>98.365876233532646</v>
      </c>
      <c r="F21" s="452"/>
    </row>
    <row r="22" spans="1:6" x14ac:dyDescent="0.25">
      <c r="A22" s="871" t="s">
        <v>896</v>
      </c>
      <c r="B22" s="872"/>
      <c r="C22" s="463">
        <f>SUM(C19:C21)</f>
        <v>28067.8</v>
      </c>
      <c r="D22" s="463">
        <f>SUM(D19:D21)</f>
        <v>28045.917599999997</v>
      </c>
      <c r="E22" s="464">
        <f t="shared" si="0"/>
        <v>99.922037352410939</v>
      </c>
      <c r="F22" s="465"/>
    </row>
    <row r="23" spans="1:6" x14ac:dyDescent="0.25">
      <c r="A23" s="456" t="s">
        <v>447</v>
      </c>
      <c r="B23" s="459" t="s">
        <v>446</v>
      </c>
      <c r="C23" s="460">
        <v>969.47577000000001</v>
      </c>
      <c r="D23" s="460">
        <v>969.47577000000001</v>
      </c>
      <c r="E23" s="461">
        <f t="shared" si="0"/>
        <v>100</v>
      </c>
      <c r="F23" s="452"/>
    </row>
    <row r="24" spans="1:6" x14ac:dyDescent="0.25">
      <c r="A24" s="456" t="s">
        <v>425</v>
      </c>
      <c r="B24" s="459" t="s">
        <v>424</v>
      </c>
      <c r="C24" s="460">
        <v>5239.5630000000001</v>
      </c>
      <c r="D24" s="460">
        <v>5232.0810000000001</v>
      </c>
      <c r="E24" s="461">
        <f t="shared" si="0"/>
        <v>99.857201831526794</v>
      </c>
      <c r="F24" s="452"/>
    </row>
    <row r="25" spans="1:6" x14ac:dyDescent="0.25">
      <c r="A25" s="456" t="s">
        <v>418</v>
      </c>
      <c r="B25" s="459" t="s">
        <v>417</v>
      </c>
      <c r="C25" s="460">
        <v>152559.42155</v>
      </c>
      <c r="D25" s="460">
        <v>151835.34297</v>
      </c>
      <c r="E25" s="461">
        <f t="shared" si="0"/>
        <v>99.525379309489125</v>
      </c>
      <c r="F25" s="452"/>
    </row>
    <row r="26" spans="1:6" ht="26.4" x14ac:dyDescent="0.25">
      <c r="A26" s="456" t="s">
        <v>394</v>
      </c>
      <c r="B26" s="459" t="s">
        <v>393</v>
      </c>
      <c r="C26" s="460">
        <v>18955.096539999999</v>
      </c>
      <c r="D26" s="460">
        <v>18168.472430000002</v>
      </c>
      <c r="E26" s="461">
        <f t="shared" si="0"/>
        <v>95.850065398822821</v>
      </c>
      <c r="F26" s="452"/>
    </row>
    <row r="27" spans="1:6" x14ac:dyDescent="0.25">
      <c r="A27" s="871" t="s">
        <v>897</v>
      </c>
      <c r="B27" s="872"/>
      <c r="C27" s="463">
        <f>SUM(C23:C26)</f>
        <v>177723.55686000001</v>
      </c>
      <c r="D27" s="463">
        <f>SUM(D23:D26)</f>
        <v>176205.37216999999</v>
      </c>
      <c r="E27" s="464">
        <f t="shared" si="0"/>
        <v>99.145760575118373</v>
      </c>
      <c r="F27" s="465"/>
    </row>
    <row r="28" spans="1:6" x14ac:dyDescent="0.25">
      <c r="A28" s="456" t="s">
        <v>361</v>
      </c>
      <c r="B28" s="468" t="s">
        <v>360</v>
      </c>
      <c r="C28" s="460">
        <v>3603.83608</v>
      </c>
      <c r="D28" s="460">
        <v>3603.83608</v>
      </c>
      <c r="E28" s="461">
        <f t="shared" si="0"/>
        <v>100</v>
      </c>
      <c r="F28" s="452"/>
    </row>
    <row r="29" spans="1:6" x14ac:dyDescent="0.25">
      <c r="A29" s="456" t="s">
        <v>349</v>
      </c>
      <c r="B29" s="459" t="s">
        <v>348</v>
      </c>
      <c r="C29" s="460">
        <v>34284.227529999996</v>
      </c>
      <c r="D29" s="460">
        <v>30700.131949999999</v>
      </c>
      <c r="E29" s="461">
        <f t="shared" si="0"/>
        <v>89.545934564622229</v>
      </c>
      <c r="F29" s="452"/>
    </row>
    <row r="30" spans="1:6" x14ac:dyDescent="0.25">
      <c r="A30" s="456" t="s">
        <v>331</v>
      </c>
      <c r="B30" s="459" t="s">
        <v>330</v>
      </c>
      <c r="C30" s="460">
        <v>69472.157449999999</v>
      </c>
      <c r="D30" s="460">
        <v>64865.267099999997</v>
      </c>
      <c r="E30" s="461">
        <f t="shared" si="0"/>
        <v>93.368724221187989</v>
      </c>
      <c r="F30" s="452"/>
    </row>
    <row r="31" spans="1:6" x14ac:dyDescent="0.25">
      <c r="A31" s="871" t="s">
        <v>898</v>
      </c>
      <c r="B31" s="872"/>
      <c r="C31" s="463">
        <f>SUM(C28:C30)</f>
        <v>107360.22106</v>
      </c>
      <c r="D31" s="463">
        <f>SUM(D28:D30)</f>
        <v>99169.235129999986</v>
      </c>
      <c r="E31" s="464">
        <f t="shared" si="0"/>
        <v>92.37055787597312</v>
      </c>
      <c r="F31" s="465"/>
    </row>
    <row r="32" spans="1:6" ht="26.4" x14ac:dyDescent="0.25">
      <c r="A32" s="469" t="s">
        <v>295</v>
      </c>
      <c r="B32" s="470" t="s">
        <v>294</v>
      </c>
      <c r="C32" s="460">
        <v>616.1</v>
      </c>
      <c r="D32" s="460">
        <v>616.1</v>
      </c>
      <c r="E32" s="461">
        <f t="shared" si="0"/>
        <v>100</v>
      </c>
      <c r="F32" s="465"/>
    </row>
    <row r="33" spans="1:6" x14ac:dyDescent="0.25">
      <c r="A33" s="871" t="s">
        <v>899</v>
      </c>
      <c r="B33" s="872"/>
      <c r="C33" s="463">
        <f>C32</f>
        <v>616.1</v>
      </c>
      <c r="D33" s="463">
        <f>D32</f>
        <v>616.1</v>
      </c>
      <c r="E33" s="464">
        <f t="shared" si="0"/>
        <v>100</v>
      </c>
      <c r="F33" s="465"/>
    </row>
    <row r="34" spans="1:6" x14ac:dyDescent="0.25">
      <c r="A34" s="456" t="s">
        <v>249</v>
      </c>
      <c r="B34" s="459" t="s">
        <v>248</v>
      </c>
      <c r="C34" s="460">
        <v>133474.92827</v>
      </c>
      <c r="D34" s="460">
        <v>133474.92827</v>
      </c>
      <c r="E34" s="461">
        <f t="shared" si="0"/>
        <v>100</v>
      </c>
      <c r="F34" s="452"/>
    </row>
    <row r="35" spans="1:6" x14ac:dyDescent="0.25">
      <c r="A35" s="456" t="s">
        <v>241</v>
      </c>
      <c r="B35" s="459" t="s">
        <v>240</v>
      </c>
      <c r="C35" s="460">
        <v>471128.69128000003</v>
      </c>
      <c r="D35" s="460">
        <v>470374.83674</v>
      </c>
      <c r="E35" s="461">
        <f t="shared" si="0"/>
        <v>99.839989677140679</v>
      </c>
      <c r="F35" s="452"/>
    </row>
    <row r="36" spans="1:6" x14ac:dyDescent="0.25">
      <c r="A36" s="456" t="s">
        <v>152</v>
      </c>
      <c r="B36" s="459" t="s">
        <v>151</v>
      </c>
      <c r="C36" s="460">
        <v>58914.7</v>
      </c>
      <c r="D36" s="460">
        <v>58914.7</v>
      </c>
      <c r="E36" s="461">
        <f t="shared" si="0"/>
        <v>100</v>
      </c>
      <c r="F36" s="452"/>
    </row>
    <row r="37" spans="1:6" x14ac:dyDescent="0.25">
      <c r="A37" s="456" t="s">
        <v>146</v>
      </c>
      <c r="B37" s="459" t="s">
        <v>900</v>
      </c>
      <c r="C37" s="460">
        <v>298.5</v>
      </c>
      <c r="D37" s="460">
        <v>298.5</v>
      </c>
      <c r="E37" s="461">
        <f t="shared" si="0"/>
        <v>100</v>
      </c>
      <c r="F37" s="452"/>
    </row>
    <row r="38" spans="1:6" x14ac:dyDescent="0.25">
      <c r="A38" s="456" t="s">
        <v>138</v>
      </c>
      <c r="B38" s="459" t="s">
        <v>137</v>
      </c>
      <c r="C38" s="460">
        <v>14663.962519999999</v>
      </c>
      <c r="D38" s="460">
        <v>14543.142589999999</v>
      </c>
      <c r="E38" s="461">
        <f t="shared" si="0"/>
        <v>99.176075840106563</v>
      </c>
      <c r="F38" s="452"/>
    </row>
    <row r="39" spans="1:6" x14ac:dyDescent="0.25">
      <c r="A39" s="871" t="s">
        <v>901</v>
      </c>
      <c r="B39" s="872"/>
      <c r="C39" s="463">
        <f>SUM(C34:C38)</f>
        <v>678480.78206999996</v>
      </c>
      <c r="D39" s="463">
        <f>SUM(D34:D38)</f>
        <v>677606.10759999987</v>
      </c>
      <c r="E39" s="464">
        <f t="shared" si="0"/>
        <v>99.871083383182707</v>
      </c>
      <c r="F39" s="465"/>
    </row>
    <row r="40" spans="1:6" x14ac:dyDescent="0.25">
      <c r="A40" s="456" t="s">
        <v>128</v>
      </c>
      <c r="B40" s="459" t="s">
        <v>127</v>
      </c>
      <c r="C40" s="460">
        <v>163556.25620999999</v>
      </c>
      <c r="D40" s="460">
        <v>83417.881250000006</v>
      </c>
      <c r="E40" s="461">
        <f t="shared" si="0"/>
        <v>51.002562166068799</v>
      </c>
      <c r="F40" s="452"/>
    </row>
    <row r="41" spans="1:6" ht="26.4" x14ac:dyDescent="0.25">
      <c r="A41" s="456" t="s">
        <v>105</v>
      </c>
      <c r="B41" s="459" t="s">
        <v>104</v>
      </c>
      <c r="C41" s="460">
        <v>6759.1500299999998</v>
      </c>
      <c r="D41" s="460">
        <v>6759.1467300000004</v>
      </c>
      <c r="E41" s="461">
        <f t="shared" si="0"/>
        <v>99.999951177293241</v>
      </c>
      <c r="F41" s="452"/>
    </row>
    <row r="42" spans="1:6" x14ac:dyDescent="0.25">
      <c r="A42" s="871" t="s">
        <v>902</v>
      </c>
      <c r="B42" s="872"/>
      <c r="C42" s="463">
        <f>SUM(C40:C41)</f>
        <v>170315.40623999998</v>
      </c>
      <c r="D42" s="463">
        <f>SUM(D40:D41)</f>
        <v>90177.027980000013</v>
      </c>
      <c r="E42" s="464">
        <f t="shared" si="0"/>
        <v>52.947076233918054</v>
      </c>
      <c r="F42" s="465"/>
    </row>
    <row r="43" spans="1:6" x14ac:dyDescent="0.25">
      <c r="A43" s="456" t="s">
        <v>276</v>
      </c>
      <c r="B43" s="459" t="s">
        <v>275</v>
      </c>
      <c r="C43" s="460">
        <v>8606.5</v>
      </c>
      <c r="D43" s="460">
        <v>8444.1547599999994</v>
      </c>
      <c r="E43" s="461">
        <f t="shared" si="0"/>
        <v>98.113690350316617</v>
      </c>
      <c r="F43" s="452"/>
    </row>
    <row r="44" spans="1:6" x14ac:dyDescent="0.25">
      <c r="A44" s="456" t="s">
        <v>272</v>
      </c>
      <c r="B44" s="459" t="s">
        <v>88</v>
      </c>
      <c r="C44" s="460">
        <v>31110.398730000001</v>
      </c>
      <c r="D44" s="460">
        <v>29870.04825</v>
      </c>
      <c r="E44" s="461">
        <f t="shared" si="0"/>
        <v>96.013067878799248</v>
      </c>
      <c r="F44" s="452"/>
    </row>
    <row r="45" spans="1:6" x14ac:dyDescent="0.25">
      <c r="A45" s="456" t="s">
        <v>903</v>
      </c>
      <c r="B45" s="459" t="s">
        <v>167</v>
      </c>
      <c r="C45" s="460">
        <v>10339.38236</v>
      </c>
      <c r="D45" s="460">
        <v>8509.8520000000008</v>
      </c>
      <c r="E45" s="461">
        <f t="shared" si="0"/>
        <v>82.30522582201904</v>
      </c>
      <c r="F45" s="452"/>
    </row>
    <row r="46" spans="1:6" x14ac:dyDescent="0.25">
      <c r="A46" s="456" t="s">
        <v>258</v>
      </c>
      <c r="B46" s="470" t="s">
        <v>257</v>
      </c>
      <c r="C46" s="460">
        <v>120.49891</v>
      </c>
      <c r="D46" s="460">
        <v>82.794719999999998</v>
      </c>
      <c r="E46" s="461">
        <f t="shared" si="0"/>
        <v>68.709932728852081</v>
      </c>
      <c r="F46" s="452"/>
    </row>
    <row r="47" spans="1:6" x14ac:dyDescent="0.25">
      <c r="A47" s="871" t="s">
        <v>904</v>
      </c>
      <c r="B47" s="872"/>
      <c r="C47" s="463">
        <f>SUM(C43:C46)</f>
        <v>50176.780000000006</v>
      </c>
      <c r="D47" s="463">
        <f>SUM(D43:D46)</f>
        <v>46906.849729999994</v>
      </c>
      <c r="E47" s="464">
        <f t="shared" si="0"/>
        <v>93.48318032763359</v>
      </c>
      <c r="F47" s="465"/>
    </row>
    <row r="48" spans="1:6" x14ac:dyDescent="0.25">
      <c r="A48" s="456" t="s">
        <v>75</v>
      </c>
      <c r="B48" s="459" t="s">
        <v>74</v>
      </c>
      <c r="C48" s="460">
        <v>6837.3540999999996</v>
      </c>
      <c r="D48" s="460">
        <v>6837.3540999999996</v>
      </c>
      <c r="E48" s="461">
        <f t="shared" si="0"/>
        <v>100</v>
      </c>
      <c r="F48" s="452"/>
    </row>
    <row r="49" spans="1:6" x14ac:dyDescent="0.25">
      <c r="A49" s="871" t="s">
        <v>905</v>
      </c>
      <c r="B49" s="872"/>
      <c r="C49" s="463">
        <f>C48</f>
        <v>6837.3540999999996</v>
      </c>
      <c r="D49" s="463">
        <f>D48</f>
        <v>6837.3540999999996</v>
      </c>
      <c r="E49" s="464">
        <f t="shared" si="0"/>
        <v>100</v>
      </c>
      <c r="F49" s="465"/>
    </row>
    <row r="50" spans="1:6" x14ac:dyDescent="0.25">
      <c r="A50" s="456" t="s">
        <v>906</v>
      </c>
      <c r="B50" s="459" t="s">
        <v>66</v>
      </c>
      <c r="C50" s="460">
        <v>1139.5</v>
      </c>
      <c r="D50" s="460">
        <v>1139.5</v>
      </c>
      <c r="E50" s="461">
        <f t="shared" si="0"/>
        <v>100</v>
      </c>
      <c r="F50" s="465"/>
    </row>
    <row r="51" spans="1:6" x14ac:dyDescent="0.25">
      <c r="A51" s="871" t="s">
        <v>907</v>
      </c>
      <c r="B51" s="872"/>
      <c r="C51" s="463">
        <f>C50</f>
        <v>1139.5</v>
      </c>
      <c r="D51" s="463">
        <f>D50</f>
        <v>1139.5</v>
      </c>
      <c r="E51" s="464">
        <f t="shared" si="0"/>
        <v>100</v>
      </c>
      <c r="F51" s="465"/>
    </row>
    <row r="52" spans="1:6" x14ac:dyDescent="0.25">
      <c r="A52" s="877" t="s">
        <v>908</v>
      </c>
      <c r="B52" s="878"/>
      <c r="C52" s="471">
        <f>C16+C22+C27+C31+C39+C42+C47+C49+C51+C18+C33</f>
        <v>1363120.3638299999</v>
      </c>
      <c r="D52" s="471">
        <f>D16+D22+D27+D31+D39+D42+D47+D49+D51+D18+D33</f>
        <v>1268542.5757799998</v>
      </c>
      <c r="E52" s="464">
        <f t="shared" si="0"/>
        <v>93.061670079943482</v>
      </c>
      <c r="F52" s="465"/>
    </row>
    <row r="53" spans="1:6" x14ac:dyDescent="0.25">
      <c r="C53" s="472"/>
      <c r="D53" s="472"/>
    </row>
    <row r="54" spans="1:6" x14ac:dyDescent="0.25">
      <c r="C54" s="473"/>
      <c r="D54" s="473"/>
    </row>
  </sheetData>
  <autoFilter ref="A8:F8"/>
  <mergeCells count="17">
    <mergeCell ref="A42:B42"/>
    <mergeCell ref="A47:B47"/>
    <mergeCell ref="A49:B49"/>
    <mergeCell ref="A51:B51"/>
    <mergeCell ref="A52:B52"/>
    <mergeCell ref="A39:B39"/>
    <mergeCell ref="A1:D1"/>
    <mergeCell ref="A2:E2"/>
    <mergeCell ref="A3:E3"/>
    <mergeCell ref="A4:E4"/>
    <mergeCell ref="A6:E6"/>
    <mergeCell ref="A16:B16"/>
    <mergeCell ref="A18:B18"/>
    <mergeCell ref="A22:B22"/>
    <mergeCell ref="A27:B27"/>
    <mergeCell ref="A31:B31"/>
    <mergeCell ref="A33:B33"/>
  </mergeCells>
  <pageMargins left="0.70866141732283472" right="0.11811023622047245" top="0.74803149606299213" bottom="0.74803149606299213" header="0.31496062992125984" footer="0.31496062992125984"/>
  <pageSetup paperSize="9" scale="94" orientation="portrait" r:id="rId1"/>
  <rowBreaks count="1" manualBreakCount="1">
    <brk id="3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9"/>
  <sheetViews>
    <sheetView view="pageBreakPreview" zoomScale="66" zoomScaleSheetLayoutView="66" workbookViewId="0">
      <selection activeCell="A5" sqref="A5:E5"/>
    </sheetView>
  </sheetViews>
  <sheetFormatPr defaultRowHeight="13.8" x14ac:dyDescent="0.25"/>
  <cols>
    <col min="1" max="1" width="30" style="476" customWidth="1"/>
    <col min="2" max="2" width="52.33203125" style="476" customWidth="1"/>
    <col min="3" max="4" width="18.5546875" style="476" customWidth="1"/>
    <col min="5" max="5" width="15.5546875" style="476" customWidth="1"/>
    <col min="6" max="256" width="9.109375" style="476"/>
    <col min="257" max="257" width="30" style="476" customWidth="1"/>
    <col min="258" max="258" width="52.33203125" style="476" customWidth="1"/>
    <col min="259" max="261" width="15.5546875" style="476" customWidth="1"/>
    <col min="262" max="512" width="9.109375" style="476"/>
    <col min="513" max="513" width="30" style="476" customWidth="1"/>
    <col min="514" max="514" width="52.33203125" style="476" customWidth="1"/>
    <col min="515" max="517" width="15.5546875" style="476" customWidth="1"/>
    <col min="518" max="768" width="9.109375" style="476"/>
    <col min="769" max="769" width="30" style="476" customWidth="1"/>
    <col min="770" max="770" width="52.33203125" style="476" customWidth="1"/>
    <col min="771" max="773" width="15.5546875" style="476" customWidth="1"/>
    <col min="774" max="1024" width="9.109375" style="476"/>
    <col min="1025" max="1025" width="30" style="476" customWidth="1"/>
    <col min="1026" max="1026" width="52.33203125" style="476" customWidth="1"/>
    <col min="1027" max="1029" width="15.5546875" style="476" customWidth="1"/>
    <col min="1030" max="1280" width="9.109375" style="476"/>
    <col min="1281" max="1281" width="30" style="476" customWidth="1"/>
    <col min="1282" max="1282" width="52.33203125" style="476" customWidth="1"/>
    <col min="1283" max="1285" width="15.5546875" style="476" customWidth="1"/>
    <col min="1286" max="1536" width="9.109375" style="476"/>
    <col min="1537" max="1537" width="30" style="476" customWidth="1"/>
    <col min="1538" max="1538" width="52.33203125" style="476" customWidth="1"/>
    <col min="1539" max="1541" width="15.5546875" style="476" customWidth="1"/>
    <col min="1542" max="1792" width="9.109375" style="476"/>
    <col min="1793" max="1793" width="30" style="476" customWidth="1"/>
    <col min="1794" max="1794" width="52.33203125" style="476" customWidth="1"/>
    <col min="1795" max="1797" width="15.5546875" style="476" customWidth="1"/>
    <col min="1798" max="2048" width="9.109375" style="476"/>
    <col min="2049" max="2049" width="30" style="476" customWidth="1"/>
    <col min="2050" max="2050" width="52.33203125" style="476" customWidth="1"/>
    <col min="2051" max="2053" width="15.5546875" style="476" customWidth="1"/>
    <col min="2054" max="2304" width="9.109375" style="476"/>
    <col min="2305" max="2305" width="30" style="476" customWidth="1"/>
    <col min="2306" max="2306" width="52.33203125" style="476" customWidth="1"/>
    <col min="2307" max="2309" width="15.5546875" style="476" customWidth="1"/>
    <col min="2310" max="2560" width="9.109375" style="476"/>
    <col min="2561" max="2561" width="30" style="476" customWidth="1"/>
    <col min="2562" max="2562" width="52.33203125" style="476" customWidth="1"/>
    <col min="2563" max="2565" width="15.5546875" style="476" customWidth="1"/>
    <col min="2566" max="2816" width="9.109375" style="476"/>
    <col min="2817" max="2817" width="30" style="476" customWidth="1"/>
    <col min="2818" max="2818" width="52.33203125" style="476" customWidth="1"/>
    <col min="2819" max="2821" width="15.5546875" style="476" customWidth="1"/>
    <col min="2822" max="3072" width="9.109375" style="476"/>
    <col min="3073" max="3073" width="30" style="476" customWidth="1"/>
    <col min="3074" max="3074" width="52.33203125" style="476" customWidth="1"/>
    <col min="3075" max="3077" width="15.5546875" style="476" customWidth="1"/>
    <col min="3078" max="3328" width="9.109375" style="476"/>
    <col min="3329" max="3329" width="30" style="476" customWidth="1"/>
    <col min="3330" max="3330" width="52.33203125" style="476" customWidth="1"/>
    <col min="3331" max="3333" width="15.5546875" style="476" customWidth="1"/>
    <col min="3334" max="3584" width="9.109375" style="476"/>
    <col min="3585" max="3585" width="30" style="476" customWidth="1"/>
    <col min="3586" max="3586" width="52.33203125" style="476" customWidth="1"/>
    <col min="3587" max="3589" width="15.5546875" style="476" customWidth="1"/>
    <col min="3590" max="3840" width="9.109375" style="476"/>
    <col min="3841" max="3841" width="30" style="476" customWidth="1"/>
    <col min="3842" max="3842" width="52.33203125" style="476" customWidth="1"/>
    <col min="3843" max="3845" width="15.5546875" style="476" customWidth="1"/>
    <col min="3846" max="4096" width="9.109375" style="476"/>
    <col min="4097" max="4097" width="30" style="476" customWidth="1"/>
    <col min="4098" max="4098" width="52.33203125" style="476" customWidth="1"/>
    <col min="4099" max="4101" width="15.5546875" style="476" customWidth="1"/>
    <col min="4102" max="4352" width="9.109375" style="476"/>
    <col min="4353" max="4353" width="30" style="476" customWidth="1"/>
    <col min="4354" max="4354" width="52.33203125" style="476" customWidth="1"/>
    <col min="4355" max="4357" width="15.5546875" style="476" customWidth="1"/>
    <col min="4358" max="4608" width="9.109375" style="476"/>
    <col min="4609" max="4609" width="30" style="476" customWidth="1"/>
    <col min="4610" max="4610" width="52.33203125" style="476" customWidth="1"/>
    <col min="4611" max="4613" width="15.5546875" style="476" customWidth="1"/>
    <col min="4614" max="4864" width="9.109375" style="476"/>
    <col min="4865" max="4865" width="30" style="476" customWidth="1"/>
    <col min="4866" max="4866" width="52.33203125" style="476" customWidth="1"/>
    <col min="4867" max="4869" width="15.5546875" style="476" customWidth="1"/>
    <col min="4870" max="5120" width="9.109375" style="476"/>
    <col min="5121" max="5121" width="30" style="476" customWidth="1"/>
    <col min="5122" max="5122" width="52.33203125" style="476" customWidth="1"/>
    <col min="5123" max="5125" width="15.5546875" style="476" customWidth="1"/>
    <col min="5126" max="5376" width="9.109375" style="476"/>
    <col min="5377" max="5377" width="30" style="476" customWidth="1"/>
    <col min="5378" max="5378" width="52.33203125" style="476" customWidth="1"/>
    <col min="5379" max="5381" width="15.5546875" style="476" customWidth="1"/>
    <col min="5382" max="5632" width="9.109375" style="476"/>
    <col min="5633" max="5633" width="30" style="476" customWidth="1"/>
    <col min="5634" max="5634" width="52.33203125" style="476" customWidth="1"/>
    <col min="5635" max="5637" width="15.5546875" style="476" customWidth="1"/>
    <col min="5638" max="5888" width="9.109375" style="476"/>
    <col min="5889" max="5889" width="30" style="476" customWidth="1"/>
    <col min="5890" max="5890" width="52.33203125" style="476" customWidth="1"/>
    <col min="5891" max="5893" width="15.5546875" style="476" customWidth="1"/>
    <col min="5894" max="6144" width="9.109375" style="476"/>
    <col min="6145" max="6145" width="30" style="476" customWidth="1"/>
    <col min="6146" max="6146" width="52.33203125" style="476" customWidth="1"/>
    <col min="6147" max="6149" width="15.5546875" style="476" customWidth="1"/>
    <col min="6150" max="6400" width="9.109375" style="476"/>
    <col min="6401" max="6401" width="30" style="476" customWidth="1"/>
    <col min="6402" max="6402" width="52.33203125" style="476" customWidth="1"/>
    <col min="6403" max="6405" width="15.5546875" style="476" customWidth="1"/>
    <col min="6406" max="6656" width="9.109375" style="476"/>
    <col min="6657" max="6657" width="30" style="476" customWidth="1"/>
    <col min="6658" max="6658" width="52.33203125" style="476" customWidth="1"/>
    <col min="6659" max="6661" width="15.5546875" style="476" customWidth="1"/>
    <col min="6662" max="6912" width="9.109375" style="476"/>
    <col min="6913" max="6913" width="30" style="476" customWidth="1"/>
    <col min="6914" max="6914" width="52.33203125" style="476" customWidth="1"/>
    <col min="6915" max="6917" width="15.5546875" style="476" customWidth="1"/>
    <col min="6918" max="7168" width="9.109375" style="476"/>
    <col min="7169" max="7169" width="30" style="476" customWidth="1"/>
    <col min="7170" max="7170" width="52.33203125" style="476" customWidth="1"/>
    <col min="7171" max="7173" width="15.5546875" style="476" customWidth="1"/>
    <col min="7174" max="7424" width="9.109375" style="476"/>
    <col min="7425" max="7425" width="30" style="476" customWidth="1"/>
    <col min="7426" max="7426" width="52.33203125" style="476" customWidth="1"/>
    <col min="7427" max="7429" width="15.5546875" style="476" customWidth="1"/>
    <col min="7430" max="7680" width="9.109375" style="476"/>
    <col min="7681" max="7681" width="30" style="476" customWidth="1"/>
    <col min="7682" max="7682" width="52.33203125" style="476" customWidth="1"/>
    <col min="7683" max="7685" width="15.5546875" style="476" customWidth="1"/>
    <col min="7686" max="7936" width="9.109375" style="476"/>
    <col min="7937" max="7937" width="30" style="476" customWidth="1"/>
    <col min="7938" max="7938" width="52.33203125" style="476" customWidth="1"/>
    <col min="7939" max="7941" width="15.5546875" style="476" customWidth="1"/>
    <col min="7942" max="8192" width="9.109375" style="476"/>
    <col min="8193" max="8193" width="30" style="476" customWidth="1"/>
    <col min="8194" max="8194" width="52.33203125" style="476" customWidth="1"/>
    <col min="8195" max="8197" width="15.5546875" style="476" customWidth="1"/>
    <col min="8198" max="8448" width="9.109375" style="476"/>
    <col min="8449" max="8449" width="30" style="476" customWidth="1"/>
    <col min="8450" max="8450" width="52.33203125" style="476" customWidth="1"/>
    <col min="8451" max="8453" width="15.5546875" style="476" customWidth="1"/>
    <col min="8454" max="8704" width="9.109375" style="476"/>
    <col min="8705" max="8705" width="30" style="476" customWidth="1"/>
    <col min="8706" max="8706" width="52.33203125" style="476" customWidth="1"/>
    <col min="8707" max="8709" width="15.5546875" style="476" customWidth="1"/>
    <col min="8710" max="8960" width="9.109375" style="476"/>
    <col min="8961" max="8961" width="30" style="476" customWidth="1"/>
    <col min="8962" max="8962" width="52.33203125" style="476" customWidth="1"/>
    <col min="8963" max="8965" width="15.5546875" style="476" customWidth="1"/>
    <col min="8966" max="9216" width="9.109375" style="476"/>
    <col min="9217" max="9217" width="30" style="476" customWidth="1"/>
    <col min="9218" max="9218" width="52.33203125" style="476" customWidth="1"/>
    <col min="9219" max="9221" width="15.5546875" style="476" customWidth="1"/>
    <col min="9222" max="9472" width="9.109375" style="476"/>
    <col min="9473" max="9473" width="30" style="476" customWidth="1"/>
    <col min="9474" max="9474" width="52.33203125" style="476" customWidth="1"/>
    <col min="9475" max="9477" width="15.5546875" style="476" customWidth="1"/>
    <col min="9478" max="9728" width="9.109375" style="476"/>
    <col min="9729" max="9729" width="30" style="476" customWidth="1"/>
    <col min="9730" max="9730" width="52.33203125" style="476" customWidth="1"/>
    <col min="9731" max="9733" width="15.5546875" style="476" customWidth="1"/>
    <col min="9734" max="9984" width="9.109375" style="476"/>
    <col min="9985" max="9985" width="30" style="476" customWidth="1"/>
    <col min="9986" max="9986" width="52.33203125" style="476" customWidth="1"/>
    <col min="9987" max="9989" width="15.5546875" style="476" customWidth="1"/>
    <col min="9990" max="10240" width="9.109375" style="476"/>
    <col min="10241" max="10241" width="30" style="476" customWidth="1"/>
    <col min="10242" max="10242" width="52.33203125" style="476" customWidth="1"/>
    <col min="10243" max="10245" width="15.5546875" style="476" customWidth="1"/>
    <col min="10246" max="10496" width="9.109375" style="476"/>
    <col min="10497" max="10497" width="30" style="476" customWidth="1"/>
    <col min="10498" max="10498" width="52.33203125" style="476" customWidth="1"/>
    <col min="10499" max="10501" width="15.5546875" style="476" customWidth="1"/>
    <col min="10502" max="10752" width="9.109375" style="476"/>
    <col min="10753" max="10753" width="30" style="476" customWidth="1"/>
    <col min="10754" max="10754" width="52.33203125" style="476" customWidth="1"/>
    <col min="10755" max="10757" width="15.5546875" style="476" customWidth="1"/>
    <col min="10758" max="11008" width="9.109375" style="476"/>
    <col min="11009" max="11009" width="30" style="476" customWidth="1"/>
    <col min="11010" max="11010" width="52.33203125" style="476" customWidth="1"/>
    <col min="11011" max="11013" width="15.5546875" style="476" customWidth="1"/>
    <col min="11014" max="11264" width="9.109375" style="476"/>
    <col min="11265" max="11265" width="30" style="476" customWidth="1"/>
    <col min="11266" max="11266" width="52.33203125" style="476" customWidth="1"/>
    <col min="11267" max="11269" width="15.5546875" style="476" customWidth="1"/>
    <col min="11270" max="11520" width="9.109375" style="476"/>
    <col min="11521" max="11521" width="30" style="476" customWidth="1"/>
    <col min="11522" max="11522" width="52.33203125" style="476" customWidth="1"/>
    <col min="11523" max="11525" width="15.5546875" style="476" customWidth="1"/>
    <col min="11526" max="11776" width="9.109375" style="476"/>
    <col min="11777" max="11777" width="30" style="476" customWidth="1"/>
    <col min="11778" max="11778" width="52.33203125" style="476" customWidth="1"/>
    <col min="11779" max="11781" width="15.5546875" style="476" customWidth="1"/>
    <col min="11782" max="12032" width="9.109375" style="476"/>
    <col min="12033" max="12033" width="30" style="476" customWidth="1"/>
    <col min="12034" max="12034" width="52.33203125" style="476" customWidth="1"/>
    <col min="12035" max="12037" width="15.5546875" style="476" customWidth="1"/>
    <col min="12038" max="12288" width="9.109375" style="476"/>
    <col min="12289" max="12289" width="30" style="476" customWidth="1"/>
    <col min="12290" max="12290" width="52.33203125" style="476" customWidth="1"/>
    <col min="12291" max="12293" width="15.5546875" style="476" customWidth="1"/>
    <col min="12294" max="12544" width="9.109375" style="476"/>
    <col min="12545" max="12545" width="30" style="476" customWidth="1"/>
    <col min="12546" max="12546" width="52.33203125" style="476" customWidth="1"/>
    <col min="12547" max="12549" width="15.5546875" style="476" customWidth="1"/>
    <col min="12550" max="12800" width="9.109375" style="476"/>
    <col min="12801" max="12801" width="30" style="476" customWidth="1"/>
    <col min="12802" max="12802" width="52.33203125" style="476" customWidth="1"/>
    <col min="12803" max="12805" width="15.5546875" style="476" customWidth="1"/>
    <col min="12806" max="13056" width="9.109375" style="476"/>
    <col min="13057" max="13057" width="30" style="476" customWidth="1"/>
    <col min="13058" max="13058" width="52.33203125" style="476" customWidth="1"/>
    <col min="13059" max="13061" width="15.5546875" style="476" customWidth="1"/>
    <col min="13062" max="13312" width="9.109375" style="476"/>
    <col min="13313" max="13313" width="30" style="476" customWidth="1"/>
    <col min="13314" max="13314" width="52.33203125" style="476" customWidth="1"/>
    <col min="13315" max="13317" width="15.5546875" style="476" customWidth="1"/>
    <col min="13318" max="13568" width="9.109375" style="476"/>
    <col min="13569" max="13569" width="30" style="476" customWidth="1"/>
    <col min="13570" max="13570" width="52.33203125" style="476" customWidth="1"/>
    <col min="13571" max="13573" width="15.5546875" style="476" customWidth="1"/>
    <col min="13574" max="13824" width="9.109375" style="476"/>
    <col min="13825" max="13825" width="30" style="476" customWidth="1"/>
    <col min="13826" max="13826" width="52.33203125" style="476" customWidth="1"/>
    <col min="13827" max="13829" width="15.5546875" style="476" customWidth="1"/>
    <col min="13830" max="14080" width="9.109375" style="476"/>
    <col min="14081" max="14081" width="30" style="476" customWidth="1"/>
    <col min="14082" max="14082" width="52.33203125" style="476" customWidth="1"/>
    <col min="14083" max="14085" width="15.5546875" style="476" customWidth="1"/>
    <col min="14086" max="14336" width="9.109375" style="476"/>
    <col min="14337" max="14337" width="30" style="476" customWidth="1"/>
    <col min="14338" max="14338" width="52.33203125" style="476" customWidth="1"/>
    <col min="14339" max="14341" width="15.5546875" style="476" customWidth="1"/>
    <col min="14342" max="14592" width="9.109375" style="476"/>
    <col min="14593" max="14593" width="30" style="476" customWidth="1"/>
    <col min="14594" max="14594" width="52.33203125" style="476" customWidth="1"/>
    <col min="14595" max="14597" width="15.5546875" style="476" customWidth="1"/>
    <col min="14598" max="14848" width="9.109375" style="476"/>
    <col min="14849" max="14849" width="30" style="476" customWidth="1"/>
    <col min="14850" max="14850" width="52.33203125" style="476" customWidth="1"/>
    <col min="14851" max="14853" width="15.5546875" style="476" customWidth="1"/>
    <col min="14854" max="15104" width="9.109375" style="476"/>
    <col min="15105" max="15105" width="30" style="476" customWidth="1"/>
    <col min="15106" max="15106" width="52.33203125" style="476" customWidth="1"/>
    <col min="15107" max="15109" width="15.5546875" style="476" customWidth="1"/>
    <col min="15110" max="15360" width="9.109375" style="476"/>
    <col min="15361" max="15361" width="30" style="476" customWidth="1"/>
    <col min="15362" max="15362" width="52.33203125" style="476" customWidth="1"/>
    <col min="15363" max="15365" width="15.5546875" style="476" customWidth="1"/>
    <col min="15366" max="15616" width="9.109375" style="476"/>
    <col min="15617" max="15617" width="30" style="476" customWidth="1"/>
    <col min="15618" max="15618" width="52.33203125" style="476" customWidth="1"/>
    <col min="15619" max="15621" width="15.5546875" style="476" customWidth="1"/>
    <col min="15622" max="15872" width="9.109375" style="476"/>
    <col min="15873" max="15873" width="30" style="476" customWidth="1"/>
    <col min="15874" max="15874" width="52.33203125" style="476" customWidth="1"/>
    <col min="15875" max="15877" width="15.5546875" style="476" customWidth="1"/>
    <col min="15878" max="16128" width="9.109375" style="476"/>
    <col min="16129" max="16129" width="30" style="476" customWidth="1"/>
    <col min="16130" max="16130" width="52.33203125" style="476" customWidth="1"/>
    <col min="16131" max="16133" width="15.5546875" style="476" customWidth="1"/>
    <col min="16134" max="16384" width="9.109375" style="476"/>
  </cols>
  <sheetData>
    <row r="1" spans="1:5" ht="15.6" x14ac:dyDescent="0.3">
      <c r="A1" s="474"/>
      <c r="B1" s="475"/>
      <c r="C1" s="882" t="s">
        <v>616</v>
      </c>
      <c r="D1" s="882"/>
      <c r="E1" s="882"/>
    </row>
    <row r="2" spans="1:5" ht="15.6" x14ac:dyDescent="0.3">
      <c r="A2" s="474"/>
      <c r="B2" s="882" t="s">
        <v>909</v>
      </c>
      <c r="C2" s="882"/>
      <c r="D2" s="882"/>
      <c r="E2" s="882"/>
    </row>
    <row r="3" spans="1:5" ht="15.6" x14ac:dyDescent="0.3">
      <c r="A3" s="883" t="s">
        <v>1445</v>
      </c>
      <c r="B3" s="883"/>
      <c r="C3" s="883"/>
      <c r="D3" s="883"/>
      <c r="E3" s="883"/>
    </row>
    <row r="4" spans="1:5" ht="15.6" x14ac:dyDescent="0.3">
      <c r="A4" s="474"/>
      <c r="B4" s="477"/>
      <c r="C4" s="477"/>
      <c r="D4" s="477"/>
      <c r="E4" s="694" t="s">
        <v>1561</v>
      </c>
    </row>
    <row r="5" spans="1:5" ht="50.25" customHeight="1" x14ac:dyDescent="0.25">
      <c r="A5" s="884" t="s">
        <v>1446</v>
      </c>
      <c r="B5" s="884"/>
      <c r="C5" s="884"/>
      <c r="D5" s="884"/>
      <c r="E5" s="884"/>
    </row>
    <row r="6" spans="1:5" x14ac:dyDescent="0.25">
      <c r="A6" s="478"/>
      <c r="B6" s="478"/>
      <c r="C6" s="885" t="s">
        <v>910</v>
      </c>
      <c r="D6" s="885"/>
      <c r="E6" s="885"/>
    </row>
    <row r="7" spans="1:5" ht="15" customHeight="1" x14ac:dyDescent="0.25">
      <c r="A7" s="879" t="s">
        <v>652</v>
      </c>
      <c r="B7" s="881" t="s">
        <v>653</v>
      </c>
      <c r="C7" s="881" t="s">
        <v>852</v>
      </c>
      <c r="D7" s="881" t="s">
        <v>853</v>
      </c>
      <c r="E7" s="881" t="s">
        <v>854</v>
      </c>
    </row>
    <row r="8" spans="1:5" s="479" customFormat="1" ht="40.5" customHeight="1" x14ac:dyDescent="0.25">
      <c r="A8" s="880"/>
      <c r="B8" s="881"/>
      <c r="C8" s="881"/>
      <c r="D8" s="881"/>
      <c r="E8" s="881"/>
    </row>
    <row r="9" spans="1:5" ht="56.25" customHeight="1" x14ac:dyDescent="0.35">
      <c r="A9" s="480" t="s">
        <v>654</v>
      </c>
      <c r="B9" s="481" t="s">
        <v>655</v>
      </c>
      <c r="C9" s="482">
        <f>C10</f>
        <v>-26121.292760000098</v>
      </c>
      <c r="D9" s="482">
        <f>D10</f>
        <v>26037.542080000043</v>
      </c>
      <c r="E9" s="483">
        <f t="shared" ref="E9:E18" si="0">D9/C9*100</f>
        <v>-99.679377736892476</v>
      </c>
    </row>
    <row r="10" spans="1:5" ht="57.75" customHeight="1" x14ac:dyDescent="0.35">
      <c r="A10" s="484" t="s">
        <v>656</v>
      </c>
      <c r="B10" s="485" t="s">
        <v>657</v>
      </c>
      <c r="C10" s="486">
        <f>C19</f>
        <v>-26121.292760000098</v>
      </c>
      <c r="D10" s="486">
        <f>D19</f>
        <v>26037.542080000043</v>
      </c>
      <c r="E10" s="483">
        <f t="shared" si="0"/>
        <v>-99.679377736892476</v>
      </c>
    </row>
    <row r="11" spans="1:5" ht="24.75" customHeight="1" x14ac:dyDescent="0.35">
      <c r="A11" s="487" t="s">
        <v>658</v>
      </c>
      <c r="B11" s="488" t="s">
        <v>659</v>
      </c>
      <c r="C11" s="489">
        <f t="shared" ref="C11:D13" si="1">C12</f>
        <v>1336999.0710699998</v>
      </c>
      <c r="D11" s="489">
        <f t="shared" si="1"/>
        <v>1294580.1178599999</v>
      </c>
      <c r="E11" s="483">
        <f t="shared" si="0"/>
        <v>96.827301220482369</v>
      </c>
    </row>
    <row r="12" spans="1:5" ht="36" x14ac:dyDescent="0.35">
      <c r="A12" s="487" t="s">
        <v>660</v>
      </c>
      <c r="B12" s="488" t="s">
        <v>661</v>
      </c>
      <c r="C12" s="489">
        <f t="shared" si="1"/>
        <v>1336999.0710699998</v>
      </c>
      <c r="D12" s="489">
        <f t="shared" si="1"/>
        <v>1294580.1178599999</v>
      </c>
      <c r="E12" s="483">
        <f t="shared" si="0"/>
        <v>96.827301220482369</v>
      </c>
    </row>
    <row r="13" spans="1:5" ht="36" x14ac:dyDescent="0.35">
      <c r="A13" s="487" t="s">
        <v>662</v>
      </c>
      <c r="B13" s="488" t="s">
        <v>663</v>
      </c>
      <c r="C13" s="489">
        <f t="shared" si="1"/>
        <v>1336999.0710699998</v>
      </c>
      <c r="D13" s="489">
        <f t="shared" si="1"/>
        <v>1294580.1178599999</v>
      </c>
      <c r="E13" s="483">
        <f t="shared" si="0"/>
        <v>96.827301220482369</v>
      </c>
    </row>
    <row r="14" spans="1:5" ht="36" x14ac:dyDescent="0.35">
      <c r="A14" s="487" t="s">
        <v>664</v>
      </c>
      <c r="B14" s="488" t="s">
        <v>911</v>
      </c>
      <c r="C14" s="489">
        <f>'1.Доходы'!D197</f>
        <v>1336999.0710699998</v>
      </c>
      <c r="D14" s="489">
        <f>'1.Доходы'!E197</f>
        <v>1294580.1178599999</v>
      </c>
      <c r="E14" s="483">
        <f t="shared" si="0"/>
        <v>96.827301220482369</v>
      </c>
    </row>
    <row r="15" spans="1:5" ht="18" x14ac:dyDescent="0.35">
      <c r="A15" s="487" t="s">
        <v>665</v>
      </c>
      <c r="B15" s="488" t="s">
        <v>666</v>
      </c>
      <c r="C15" s="489">
        <f t="shared" ref="C15:D17" si="2">C16</f>
        <v>1363120.3638299999</v>
      </c>
      <c r="D15" s="489">
        <f t="shared" si="2"/>
        <v>1268542.5757799998</v>
      </c>
      <c r="E15" s="483">
        <f t="shared" si="0"/>
        <v>93.061670079943482</v>
      </c>
    </row>
    <row r="16" spans="1:5" ht="36" x14ac:dyDescent="0.35">
      <c r="A16" s="487" t="s">
        <v>667</v>
      </c>
      <c r="B16" s="488" t="s">
        <v>668</v>
      </c>
      <c r="C16" s="489">
        <f t="shared" si="2"/>
        <v>1363120.3638299999</v>
      </c>
      <c r="D16" s="489">
        <f t="shared" si="2"/>
        <v>1268542.5757799998</v>
      </c>
      <c r="E16" s="483">
        <f t="shared" si="0"/>
        <v>93.061670079943482</v>
      </c>
    </row>
    <row r="17" spans="1:5" ht="36" x14ac:dyDescent="0.35">
      <c r="A17" s="487" t="s">
        <v>669</v>
      </c>
      <c r="B17" s="488" t="s">
        <v>670</v>
      </c>
      <c r="C17" s="489">
        <f t="shared" si="2"/>
        <v>1363120.3638299999</v>
      </c>
      <c r="D17" s="489">
        <f t="shared" si="2"/>
        <v>1268542.5757799998</v>
      </c>
      <c r="E17" s="483">
        <f t="shared" si="0"/>
        <v>93.061670079943482</v>
      </c>
    </row>
    <row r="18" spans="1:5" ht="39" customHeight="1" x14ac:dyDescent="0.35">
      <c r="A18" s="487" t="s">
        <v>671</v>
      </c>
      <c r="B18" s="488" t="s">
        <v>912</v>
      </c>
      <c r="C18" s="489">
        <f>'2.Расходы по вед.'!G909</f>
        <v>1363120.3638299999</v>
      </c>
      <c r="D18" s="489">
        <f>'2.Расходы по вед.'!H909</f>
        <v>1268542.5757799998</v>
      </c>
      <c r="E18" s="483">
        <f t="shared" si="0"/>
        <v>93.061670079943482</v>
      </c>
    </row>
    <row r="19" spans="1:5" ht="18" hidden="1" x14ac:dyDescent="0.35">
      <c r="A19" s="490"/>
      <c r="B19" s="491" t="s">
        <v>672</v>
      </c>
      <c r="C19" s="492">
        <f>C11-C15</f>
        <v>-26121.292760000098</v>
      </c>
      <c r="D19" s="492">
        <f>D11-D15</f>
        <v>26037.542080000043</v>
      </c>
      <c r="E19" s="483" t="s">
        <v>913</v>
      </c>
    </row>
  </sheetData>
  <mergeCells count="10">
    <mergeCell ref="C1:E1"/>
    <mergeCell ref="B2:E2"/>
    <mergeCell ref="A3:E3"/>
    <mergeCell ref="A5:E5"/>
    <mergeCell ref="C6:E6"/>
    <mergeCell ref="A7:A8"/>
    <mergeCell ref="B7:B8"/>
    <mergeCell ref="C7:C8"/>
    <mergeCell ref="D7:D8"/>
    <mergeCell ref="E7:E8"/>
  </mergeCells>
  <pageMargins left="0.9055118110236221" right="0.51181102362204722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13"/>
  <sheetViews>
    <sheetView view="pageBreakPreview" zoomScaleSheetLayoutView="100" workbookViewId="0">
      <selection activeCell="C5" sqref="C5"/>
    </sheetView>
  </sheetViews>
  <sheetFormatPr defaultColWidth="9.109375" defaultRowHeight="13.2" x14ac:dyDescent="0.25"/>
  <cols>
    <col min="1" max="1" width="4.6640625" style="495" customWidth="1"/>
    <col min="2" max="2" width="71.88671875" style="495" customWidth="1"/>
    <col min="3" max="3" width="21.6640625" style="495" customWidth="1"/>
    <col min="4" max="16384" width="9.109375" style="495"/>
  </cols>
  <sheetData>
    <row r="1" spans="1:3" ht="15.6" x14ac:dyDescent="0.3">
      <c r="A1" s="493"/>
      <c r="B1" s="453"/>
      <c r="C1" s="494" t="s">
        <v>617</v>
      </c>
    </row>
    <row r="2" spans="1:3" ht="15.6" x14ac:dyDescent="0.3">
      <c r="A2" s="493"/>
      <c r="B2" s="886" t="s">
        <v>909</v>
      </c>
      <c r="C2" s="886"/>
    </row>
    <row r="3" spans="1:3" ht="15.6" x14ac:dyDescent="0.3">
      <c r="A3" s="493"/>
      <c r="B3" s="887" t="s">
        <v>1031</v>
      </c>
      <c r="C3" s="887"/>
    </row>
    <row r="4" spans="1:3" ht="15.6" x14ac:dyDescent="0.3">
      <c r="A4" s="493"/>
      <c r="C4" s="496" t="s">
        <v>1561</v>
      </c>
    </row>
    <row r="5" spans="1:3" ht="15.6" x14ac:dyDescent="0.3">
      <c r="A5" s="493"/>
      <c r="C5" s="496"/>
    </row>
    <row r="6" spans="1:3" ht="17.399999999999999" x14ac:dyDescent="0.25">
      <c r="A6" s="888" t="s">
        <v>914</v>
      </c>
      <c r="B6" s="888"/>
      <c r="C6" s="888"/>
    </row>
    <row r="7" spans="1:3" ht="33.75" customHeight="1" x14ac:dyDescent="0.25">
      <c r="A7" s="889" t="s">
        <v>1033</v>
      </c>
      <c r="B7" s="889"/>
      <c r="C7" s="889"/>
    </row>
    <row r="8" spans="1:3" ht="15.6" x14ac:dyDescent="0.25">
      <c r="A8" s="890" t="s">
        <v>915</v>
      </c>
      <c r="B8" s="891"/>
      <c r="C8" s="497" t="s">
        <v>910</v>
      </c>
    </row>
    <row r="9" spans="1:3" ht="31.2" x14ac:dyDescent="0.25">
      <c r="A9" s="498" t="s">
        <v>618</v>
      </c>
      <c r="B9" s="498" t="s">
        <v>916</v>
      </c>
      <c r="C9" s="498" t="s">
        <v>917</v>
      </c>
    </row>
    <row r="10" spans="1:3" ht="21" customHeight="1" x14ac:dyDescent="0.25">
      <c r="A10" s="499" t="s">
        <v>624</v>
      </c>
      <c r="B10" s="500" t="s">
        <v>918</v>
      </c>
      <c r="C10" s="501">
        <v>0</v>
      </c>
    </row>
    <row r="11" spans="1:3" ht="21" customHeight="1" x14ac:dyDescent="0.25">
      <c r="A11" s="499">
        <v>2</v>
      </c>
      <c r="B11" s="500" t="s">
        <v>919</v>
      </c>
      <c r="C11" s="501">
        <v>0</v>
      </c>
    </row>
    <row r="12" spans="1:3" s="504" customFormat="1" ht="15.6" x14ac:dyDescent="0.25">
      <c r="A12" s="502"/>
      <c r="B12" s="503" t="s">
        <v>920</v>
      </c>
      <c r="C12" s="498">
        <f>C10</f>
        <v>0</v>
      </c>
    </row>
    <row r="13" spans="1:3" ht="15.6" x14ac:dyDescent="0.3">
      <c r="A13" s="505"/>
    </row>
  </sheetData>
  <mergeCells count="5">
    <mergeCell ref="B2:C2"/>
    <mergeCell ref="B3:C3"/>
    <mergeCell ref="A6:C6"/>
    <mergeCell ref="A7:C7"/>
    <mergeCell ref="A8:B8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13"/>
  <sheetViews>
    <sheetView view="pageBreakPreview" zoomScaleSheetLayoutView="100" workbookViewId="0">
      <selection activeCell="A7" sqref="A7:C7"/>
    </sheetView>
  </sheetViews>
  <sheetFormatPr defaultColWidth="9.109375" defaultRowHeight="15.6" x14ac:dyDescent="0.3"/>
  <cols>
    <col min="1" max="1" width="7" style="506" customWidth="1"/>
    <col min="2" max="2" width="62.109375" style="506" customWidth="1"/>
    <col min="3" max="3" width="17" style="506" customWidth="1"/>
    <col min="4" max="16384" width="9.109375" style="506"/>
  </cols>
  <sheetData>
    <row r="1" spans="1:3" x14ac:dyDescent="0.3">
      <c r="A1" s="894" t="s">
        <v>921</v>
      </c>
      <c r="B1" s="894"/>
      <c r="C1" s="894"/>
    </row>
    <row r="2" spans="1:3" x14ac:dyDescent="0.3">
      <c r="A2" s="894" t="s">
        <v>909</v>
      </c>
      <c r="B2" s="894"/>
      <c r="C2" s="894"/>
    </row>
    <row r="3" spans="1:3" x14ac:dyDescent="0.3">
      <c r="A3" s="894" t="s">
        <v>1031</v>
      </c>
      <c r="B3" s="894"/>
      <c r="C3" s="894"/>
    </row>
    <row r="4" spans="1:3" x14ac:dyDescent="0.3">
      <c r="B4" s="894" t="s">
        <v>1561</v>
      </c>
      <c r="C4" s="894"/>
    </row>
    <row r="5" spans="1:3" x14ac:dyDescent="0.3">
      <c r="B5" s="496"/>
      <c r="C5" s="496"/>
    </row>
    <row r="6" spans="1:3" x14ac:dyDescent="0.3">
      <c r="A6" s="895" t="s">
        <v>922</v>
      </c>
      <c r="B6" s="895"/>
      <c r="C6" s="895"/>
    </row>
    <row r="7" spans="1:3" ht="30" customHeight="1" x14ac:dyDescent="0.3">
      <c r="A7" s="896" t="s">
        <v>1034</v>
      </c>
      <c r="B7" s="896"/>
      <c r="C7" s="896"/>
    </row>
    <row r="8" spans="1:3" x14ac:dyDescent="0.3">
      <c r="A8" s="892" t="s">
        <v>910</v>
      </c>
      <c r="B8" s="892"/>
      <c r="C8" s="892"/>
    </row>
    <row r="9" spans="1:3" x14ac:dyDescent="0.3">
      <c r="A9" s="507" t="s">
        <v>618</v>
      </c>
      <c r="B9" s="507" t="s">
        <v>923</v>
      </c>
      <c r="C9" s="507" t="s">
        <v>924</v>
      </c>
    </row>
    <row r="10" spans="1:3" ht="62.4" x14ac:dyDescent="0.3">
      <c r="A10" s="893" t="s">
        <v>624</v>
      </c>
      <c r="B10" s="508" t="s">
        <v>925</v>
      </c>
      <c r="C10" s="507">
        <v>0</v>
      </c>
    </row>
    <row r="11" spans="1:3" x14ac:dyDescent="0.3">
      <c r="A11" s="893"/>
      <c r="B11" s="508" t="s">
        <v>926</v>
      </c>
      <c r="C11" s="507">
        <v>0</v>
      </c>
    </row>
    <row r="12" spans="1:3" ht="18" customHeight="1" x14ac:dyDescent="0.3">
      <c r="A12" s="893"/>
      <c r="B12" s="508" t="s">
        <v>927</v>
      </c>
      <c r="C12" s="507">
        <v>0</v>
      </c>
    </row>
    <row r="13" spans="1:3" ht="18" customHeight="1" x14ac:dyDescent="0.3"/>
  </sheetData>
  <mergeCells count="8">
    <mergeCell ref="A8:C8"/>
    <mergeCell ref="A10:A12"/>
    <mergeCell ref="A1:C1"/>
    <mergeCell ref="A2:C2"/>
    <mergeCell ref="A3:C3"/>
    <mergeCell ref="B4:C4"/>
    <mergeCell ref="A6:C6"/>
    <mergeCell ref="A7:C7"/>
  </mergeCells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13"/>
  <sheetViews>
    <sheetView view="pageBreakPreview" zoomScaleSheetLayoutView="100" workbookViewId="0">
      <selection activeCell="A19" sqref="A19"/>
    </sheetView>
  </sheetViews>
  <sheetFormatPr defaultColWidth="9.109375" defaultRowHeight="15.6" x14ac:dyDescent="0.3"/>
  <cols>
    <col min="1" max="1" width="80.44140625" style="506" customWidth="1"/>
    <col min="2" max="2" width="13.6640625" style="506" customWidth="1"/>
    <col min="3" max="16384" width="9.109375" style="506"/>
  </cols>
  <sheetData>
    <row r="1" spans="1:3" x14ac:dyDescent="0.3">
      <c r="A1" s="894" t="s">
        <v>928</v>
      </c>
      <c r="B1" s="894"/>
      <c r="C1" s="509"/>
    </row>
    <row r="2" spans="1:3" x14ac:dyDescent="0.3">
      <c r="A2" s="894" t="s">
        <v>909</v>
      </c>
      <c r="B2" s="894"/>
      <c r="C2" s="509"/>
    </row>
    <row r="3" spans="1:3" x14ac:dyDescent="0.3">
      <c r="A3" s="894" t="s">
        <v>1031</v>
      </c>
      <c r="B3" s="894"/>
      <c r="C3" s="509"/>
    </row>
    <row r="4" spans="1:3" x14ac:dyDescent="0.3">
      <c r="A4" s="894" t="s">
        <v>1561</v>
      </c>
      <c r="B4" s="894"/>
      <c r="C4" s="509"/>
    </row>
    <row r="6" spans="1:3" x14ac:dyDescent="0.3">
      <c r="A6" s="898" t="s">
        <v>929</v>
      </c>
      <c r="B6" s="898"/>
    </row>
    <row r="7" spans="1:3" ht="37.5" customHeight="1" x14ac:dyDescent="0.3">
      <c r="A7" s="897" t="s">
        <v>930</v>
      </c>
      <c r="B7" s="897"/>
    </row>
    <row r="8" spans="1:3" x14ac:dyDescent="0.3">
      <c r="A8" s="510"/>
      <c r="B8" s="511" t="s">
        <v>910</v>
      </c>
    </row>
    <row r="9" spans="1:3" x14ac:dyDescent="0.3">
      <c r="A9" s="507" t="s">
        <v>931</v>
      </c>
      <c r="B9" s="507" t="s">
        <v>924</v>
      </c>
    </row>
    <row r="10" spans="1:3" ht="31.2" x14ac:dyDescent="0.3">
      <c r="A10" s="512" t="s">
        <v>932</v>
      </c>
      <c r="B10" s="507">
        <v>0</v>
      </c>
    </row>
    <row r="11" spans="1:3" ht="31.2" x14ac:dyDescent="0.3">
      <c r="A11" s="512" t="s">
        <v>933</v>
      </c>
      <c r="B11" s="507">
        <v>0</v>
      </c>
    </row>
    <row r="12" spans="1:3" ht="31.2" x14ac:dyDescent="0.3">
      <c r="A12" s="512" t="s">
        <v>934</v>
      </c>
      <c r="B12" s="859">
        <v>0</v>
      </c>
    </row>
    <row r="13" spans="1:3" x14ac:dyDescent="0.3">
      <c r="A13" s="513"/>
    </row>
  </sheetData>
  <mergeCells count="6">
    <mergeCell ref="A7:B7"/>
    <mergeCell ref="A1:B1"/>
    <mergeCell ref="A2:B2"/>
    <mergeCell ref="A3:B3"/>
    <mergeCell ref="A4:B4"/>
    <mergeCell ref="A6:B6"/>
  </mergeCells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5"/>
  <sheetViews>
    <sheetView view="pageBreakPreview" topLeftCell="B13" zoomScale="60" workbookViewId="0">
      <selection activeCell="H18" sqref="H18:I19"/>
    </sheetView>
  </sheetViews>
  <sheetFormatPr defaultRowHeight="13.2" x14ac:dyDescent="0.25"/>
  <cols>
    <col min="1" max="1" width="7.109375" style="514" customWidth="1"/>
    <col min="2" max="2" width="64.5546875" style="514" customWidth="1"/>
    <col min="3" max="3" width="10.109375" style="514" hidden="1" customWidth="1"/>
    <col min="4" max="4" width="10.88671875" style="514" hidden="1" customWidth="1"/>
    <col min="5" max="5" width="12.5546875" style="514" hidden="1" customWidth="1"/>
    <col min="6" max="6" width="23.33203125" style="514" customWidth="1"/>
    <col min="7" max="7" width="23" style="514" customWidth="1"/>
    <col min="8" max="8" width="18.6640625" style="514" customWidth="1"/>
    <col min="9" max="9" width="22.5546875" style="453" bestFit="1" customWidth="1"/>
    <col min="10" max="256" width="9.109375" style="514"/>
    <col min="257" max="257" width="7.109375" style="514" customWidth="1"/>
    <col min="258" max="258" width="64.5546875" style="514" customWidth="1"/>
    <col min="259" max="261" width="0" style="514" hidden="1" customWidth="1"/>
    <col min="262" max="262" width="14.6640625" style="514" customWidth="1"/>
    <col min="263" max="263" width="15.5546875" style="514" customWidth="1"/>
    <col min="264" max="264" width="18.6640625" style="514" customWidth="1"/>
    <col min="265" max="265" width="22.5546875" style="514" bestFit="1" customWidth="1"/>
    <col min="266" max="512" width="9.109375" style="514"/>
    <col min="513" max="513" width="7.109375" style="514" customWidth="1"/>
    <col min="514" max="514" width="64.5546875" style="514" customWidth="1"/>
    <col min="515" max="517" width="0" style="514" hidden="1" customWidth="1"/>
    <col min="518" max="518" width="14.6640625" style="514" customWidth="1"/>
    <col min="519" max="519" width="15.5546875" style="514" customWidth="1"/>
    <col min="520" max="520" width="18.6640625" style="514" customWidth="1"/>
    <col min="521" max="521" width="22.5546875" style="514" bestFit="1" customWidth="1"/>
    <col min="522" max="768" width="9.109375" style="514"/>
    <col min="769" max="769" width="7.109375" style="514" customWidth="1"/>
    <col min="770" max="770" width="64.5546875" style="514" customWidth="1"/>
    <col min="771" max="773" width="0" style="514" hidden="1" customWidth="1"/>
    <col min="774" max="774" width="14.6640625" style="514" customWidth="1"/>
    <col min="775" max="775" width="15.5546875" style="514" customWidth="1"/>
    <col min="776" max="776" width="18.6640625" style="514" customWidth="1"/>
    <col min="777" max="777" width="22.5546875" style="514" bestFit="1" customWidth="1"/>
    <col min="778" max="1024" width="9.109375" style="514"/>
    <col min="1025" max="1025" width="7.109375" style="514" customWidth="1"/>
    <col min="1026" max="1026" width="64.5546875" style="514" customWidth="1"/>
    <col min="1027" max="1029" width="0" style="514" hidden="1" customWidth="1"/>
    <col min="1030" max="1030" width="14.6640625" style="514" customWidth="1"/>
    <col min="1031" max="1031" width="15.5546875" style="514" customWidth="1"/>
    <col min="1032" max="1032" width="18.6640625" style="514" customWidth="1"/>
    <col min="1033" max="1033" width="22.5546875" style="514" bestFit="1" customWidth="1"/>
    <col min="1034" max="1280" width="9.109375" style="514"/>
    <col min="1281" max="1281" width="7.109375" style="514" customWidth="1"/>
    <col min="1282" max="1282" width="64.5546875" style="514" customWidth="1"/>
    <col min="1283" max="1285" width="0" style="514" hidden="1" customWidth="1"/>
    <col min="1286" max="1286" width="14.6640625" style="514" customWidth="1"/>
    <col min="1287" max="1287" width="15.5546875" style="514" customWidth="1"/>
    <col min="1288" max="1288" width="18.6640625" style="514" customWidth="1"/>
    <col min="1289" max="1289" width="22.5546875" style="514" bestFit="1" customWidth="1"/>
    <col min="1290" max="1536" width="9.109375" style="514"/>
    <col min="1537" max="1537" width="7.109375" style="514" customWidth="1"/>
    <col min="1538" max="1538" width="64.5546875" style="514" customWidth="1"/>
    <col min="1539" max="1541" width="0" style="514" hidden="1" customWidth="1"/>
    <col min="1542" max="1542" width="14.6640625" style="514" customWidth="1"/>
    <col min="1543" max="1543" width="15.5546875" style="514" customWidth="1"/>
    <col min="1544" max="1544" width="18.6640625" style="514" customWidth="1"/>
    <col min="1545" max="1545" width="22.5546875" style="514" bestFit="1" customWidth="1"/>
    <col min="1546" max="1792" width="9.109375" style="514"/>
    <col min="1793" max="1793" width="7.109375" style="514" customWidth="1"/>
    <col min="1794" max="1794" width="64.5546875" style="514" customWidth="1"/>
    <col min="1795" max="1797" width="0" style="514" hidden="1" customWidth="1"/>
    <col min="1798" max="1798" width="14.6640625" style="514" customWidth="1"/>
    <col min="1799" max="1799" width="15.5546875" style="514" customWidth="1"/>
    <col min="1800" max="1800" width="18.6640625" style="514" customWidth="1"/>
    <col min="1801" max="1801" width="22.5546875" style="514" bestFit="1" customWidth="1"/>
    <col min="1802" max="2048" width="9.109375" style="514"/>
    <col min="2049" max="2049" width="7.109375" style="514" customWidth="1"/>
    <col min="2050" max="2050" width="64.5546875" style="514" customWidth="1"/>
    <col min="2051" max="2053" width="0" style="514" hidden="1" customWidth="1"/>
    <col min="2054" max="2054" width="14.6640625" style="514" customWidth="1"/>
    <col min="2055" max="2055" width="15.5546875" style="514" customWidth="1"/>
    <col min="2056" max="2056" width="18.6640625" style="514" customWidth="1"/>
    <col min="2057" max="2057" width="22.5546875" style="514" bestFit="1" customWidth="1"/>
    <col min="2058" max="2304" width="9.109375" style="514"/>
    <col min="2305" max="2305" width="7.109375" style="514" customWidth="1"/>
    <col min="2306" max="2306" width="64.5546875" style="514" customWidth="1"/>
    <col min="2307" max="2309" width="0" style="514" hidden="1" customWidth="1"/>
    <col min="2310" max="2310" width="14.6640625" style="514" customWidth="1"/>
    <col min="2311" max="2311" width="15.5546875" style="514" customWidth="1"/>
    <col min="2312" max="2312" width="18.6640625" style="514" customWidth="1"/>
    <col min="2313" max="2313" width="22.5546875" style="514" bestFit="1" customWidth="1"/>
    <col min="2314" max="2560" width="9.109375" style="514"/>
    <col min="2561" max="2561" width="7.109375" style="514" customWidth="1"/>
    <col min="2562" max="2562" width="64.5546875" style="514" customWidth="1"/>
    <col min="2563" max="2565" width="0" style="514" hidden="1" customWidth="1"/>
    <col min="2566" max="2566" width="14.6640625" style="514" customWidth="1"/>
    <col min="2567" max="2567" width="15.5546875" style="514" customWidth="1"/>
    <col min="2568" max="2568" width="18.6640625" style="514" customWidth="1"/>
    <col min="2569" max="2569" width="22.5546875" style="514" bestFit="1" customWidth="1"/>
    <col min="2570" max="2816" width="9.109375" style="514"/>
    <col min="2817" max="2817" width="7.109375" style="514" customWidth="1"/>
    <col min="2818" max="2818" width="64.5546875" style="514" customWidth="1"/>
    <col min="2819" max="2821" width="0" style="514" hidden="1" customWidth="1"/>
    <col min="2822" max="2822" width="14.6640625" style="514" customWidth="1"/>
    <col min="2823" max="2823" width="15.5546875" style="514" customWidth="1"/>
    <col min="2824" max="2824" width="18.6640625" style="514" customWidth="1"/>
    <col min="2825" max="2825" width="22.5546875" style="514" bestFit="1" customWidth="1"/>
    <col min="2826" max="3072" width="9.109375" style="514"/>
    <col min="3073" max="3073" width="7.109375" style="514" customWidth="1"/>
    <col min="3074" max="3074" width="64.5546875" style="514" customWidth="1"/>
    <col min="3075" max="3077" width="0" style="514" hidden="1" customWidth="1"/>
    <col min="3078" max="3078" width="14.6640625" style="514" customWidth="1"/>
    <col min="3079" max="3079" width="15.5546875" style="514" customWidth="1"/>
    <col min="3080" max="3080" width="18.6640625" style="514" customWidth="1"/>
    <col min="3081" max="3081" width="22.5546875" style="514" bestFit="1" customWidth="1"/>
    <col min="3082" max="3328" width="9.109375" style="514"/>
    <col min="3329" max="3329" width="7.109375" style="514" customWidth="1"/>
    <col min="3330" max="3330" width="64.5546875" style="514" customWidth="1"/>
    <col min="3331" max="3333" width="0" style="514" hidden="1" customWidth="1"/>
    <col min="3334" max="3334" width="14.6640625" style="514" customWidth="1"/>
    <col min="3335" max="3335" width="15.5546875" style="514" customWidth="1"/>
    <col min="3336" max="3336" width="18.6640625" style="514" customWidth="1"/>
    <col min="3337" max="3337" width="22.5546875" style="514" bestFit="1" customWidth="1"/>
    <col min="3338" max="3584" width="9.109375" style="514"/>
    <col min="3585" max="3585" width="7.109375" style="514" customWidth="1"/>
    <col min="3586" max="3586" width="64.5546875" style="514" customWidth="1"/>
    <col min="3587" max="3589" width="0" style="514" hidden="1" customWidth="1"/>
    <col min="3590" max="3590" width="14.6640625" style="514" customWidth="1"/>
    <col min="3591" max="3591" width="15.5546875" style="514" customWidth="1"/>
    <col min="3592" max="3592" width="18.6640625" style="514" customWidth="1"/>
    <col min="3593" max="3593" width="22.5546875" style="514" bestFit="1" customWidth="1"/>
    <col min="3594" max="3840" width="9.109375" style="514"/>
    <col min="3841" max="3841" width="7.109375" style="514" customWidth="1"/>
    <col min="3842" max="3842" width="64.5546875" style="514" customWidth="1"/>
    <col min="3843" max="3845" width="0" style="514" hidden="1" customWidth="1"/>
    <col min="3846" max="3846" width="14.6640625" style="514" customWidth="1"/>
    <col min="3847" max="3847" width="15.5546875" style="514" customWidth="1"/>
    <col min="3848" max="3848" width="18.6640625" style="514" customWidth="1"/>
    <col min="3849" max="3849" width="22.5546875" style="514" bestFit="1" customWidth="1"/>
    <col min="3850" max="4096" width="9.109375" style="514"/>
    <col min="4097" max="4097" width="7.109375" style="514" customWidth="1"/>
    <col min="4098" max="4098" width="64.5546875" style="514" customWidth="1"/>
    <col min="4099" max="4101" width="0" style="514" hidden="1" customWidth="1"/>
    <col min="4102" max="4102" width="14.6640625" style="514" customWidth="1"/>
    <col min="4103" max="4103" width="15.5546875" style="514" customWidth="1"/>
    <col min="4104" max="4104" width="18.6640625" style="514" customWidth="1"/>
    <col min="4105" max="4105" width="22.5546875" style="514" bestFit="1" customWidth="1"/>
    <col min="4106" max="4352" width="9.109375" style="514"/>
    <col min="4353" max="4353" width="7.109375" style="514" customWidth="1"/>
    <col min="4354" max="4354" width="64.5546875" style="514" customWidth="1"/>
    <col min="4355" max="4357" width="0" style="514" hidden="1" customWidth="1"/>
    <col min="4358" max="4358" width="14.6640625" style="514" customWidth="1"/>
    <col min="4359" max="4359" width="15.5546875" style="514" customWidth="1"/>
    <col min="4360" max="4360" width="18.6640625" style="514" customWidth="1"/>
    <col min="4361" max="4361" width="22.5546875" style="514" bestFit="1" customWidth="1"/>
    <col min="4362" max="4608" width="9.109375" style="514"/>
    <col min="4609" max="4609" width="7.109375" style="514" customWidth="1"/>
    <col min="4610" max="4610" width="64.5546875" style="514" customWidth="1"/>
    <col min="4611" max="4613" width="0" style="514" hidden="1" customWidth="1"/>
    <col min="4614" max="4614" width="14.6640625" style="514" customWidth="1"/>
    <col min="4615" max="4615" width="15.5546875" style="514" customWidth="1"/>
    <col min="4616" max="4616" width="18.6640625" style="514" customWidth="1"/>
    <col min="4617" max="4617" width="22.5546875" style="514" bestFit="1" customWidth="1"/>
    <col min="4618" max="4864" width="9.109375" style="514"/>
    <col min="4865" max="4865" width="7.109375" style="514" customWidth="1"/>
    <col min="4866" max="4866" width="64.5546875" style="514" customWidth="1"/>
    <col min="4867" max="4869" width="0" style="514" hidden="1" customWidth="1"/>
    <col min="4870" max="4870" width="14.6640625" style="514" customWidth="1"/>
    <col min="4871" max="4871" width="15.5546875" style="514" customWidth="1"/>
    <col min="4872" max="4872" width="18.6640625" style="514" customWidth="1"/>
    <col min="4873" max="4873" width="22.5546875" style="514" bestFit="1" customWidth="1"/>
    <col min="4874" max="5120" width="9.109375" style="514"/>
    <col min="5121" max="5121" width="7.109375" style="514" customWidth="1"/>
    <col min="5122" max="5122" width="64.5546875" style="514" customWidth="1"/>
    <col min="5123" max="5125" width="0" style="514" hidden="1" customWidth="1"/>
    <col min="5126" max="5126" width="14.6640625" style="514" customWidth="1"/>
    <col min="5127" max="5127" width="15.5546875" style="514" customWidth="1"/>
    <col min="5128" max="5128" width="18.6640625" style="514" customWidth="1"/>
    <col min="5129" max="5129" width="22.5546875" style="514" bestFit="1" customWidth="1"/>
    <col min="5130" max="5376" width="9.109375" style="514"/>
    <col min="5377" max="5377" width="7.109375" style="514" customWidth="1"/>
    <col min="5378" max="5378" width="64.5546875" style="514" customWidth="1"/>
    <col min="5379" max="5381" width="0" style="514" hidden="1" customWidth="1"/>
    <col min="5382" max="5382" width="14.6640625" style="514" customWidth="1"/>
    <col min="5383" max="5383" width="15.5546875" style="514" customWidth="1"/>
    <col min="5384" max="5384" width="18.6640625" style="514" customWidth="1"/>
    <col min="5385" max="5385" width="22.5546875" style="514" bestFit="1" customWidth="1"/>
    <col min="5386" max="5632" width="9.109375" style="514"/>
    <col min="5633" max="5633" width="7.109375" style="514" customWidth="1"/>
    <col min="5634" max="5634" width="64.5546875" style="514" customWidth="1"/>
    <col min="5635" max="5637" width="0" style="514" hidden="1" customWidth="1"/>
    <col min="5638" max="5638" width="14.6640625" style="514" customWidth="1"/>
    <col min="5639" max="5639" width="15.5546875" style="514" customWidth="1"/>
    <col min="5640" max="5640" width="18.6640625" style="514" customWidth="1"/>
    <col min="5641" max="5641" width="22.5546875" style="514" bestFit="1" customWidth="1"/>
    <col min="5642" max="5888" width="9.109375" style="514"/>
    <col min="5889" max="5889" width="7.109375" style="514" customWidth="1"/>
    <col min="5890" max="5890" width="64.5546875" style="514" customWidth="1"/>
    <col min="5891" max="5893" width="0" style="514" hidden="1" customWidth="1"/>
    <col min="5894" max="5894" width="14.6640625" style="514" customWidth="1"/>
    <col min="5895" max="5895" width="15.5546875" style="514" customWidth="1"/>
    <col min="5896" max="5896" width="18.6640625" style="514" customWidth="1"/>
    <col min="5897" max="5897" width="22.5546875" style="514" bestFit="1" customWidth="1"/>
    <col min="5898" max="6144" width="9.109375" style="514"/>
    <col min="6145" max="6145" width="7.109375" style="514" customWidth="1"/>
    <col min="6146" max="6146" width="64.5546875" style="514" customWidth="1"/>
    <col min="6147" max="6149" width="0" style="514" hidden="1" customWidth="1"/>
    <col min="6150" max="6150" width="14.6640625" style="514" customWidth="1"/>
    <col min="6151" max="6151" width="15.5546875" style="514" customWidth="1"/>
    <col min="6152" max="6152" width="18.6640625" style="514" customWidth="1"/>
    <col min="6153" max="6153" width="22.5546875" style="514" bestFit="1" customWidth="1"/>
    <col min="6154" max="6400" width="9.109375" style="514"/>
    <col min="6401" max="6401" width="7.109375" style="514" customWidth="1"/>
    <col min="6402" max="6402" width="64.5546875" style="514" customWidth="1"/>
    <col min="6403" max="6405" width="0" style="514" hidden="1" customWidth="1"/>
    <col min="6406" max="6406" width="14.6640625" style="514" customWidth="1"/>
    <col min="6407" max="6407" width="15.5546875" style="514" customWidth="1"/>
    <col min="6408" max="6408" width="18.6640625" style="514" customWidth="1"/>
    <col min="6409" max="6409" width="22.5546875" style="514" bestFit="1" customWidth="1"/>
    <col min="6410" max="6656" width="9.109375" style="514"/>
    <col min="6657" max="6657" width="7.109375" style="514" customWidth="1"/>
    <col min="6658" max="6658" width="64.5546875" style="514" customWidth="1"/>
    <col min="6659" max="6661" width="0" style="514" hidden="1" customWidth="1"/>
    <col min="6662" max="6662" width="14.6640625" style="514" customWidth="1"/>
    <col min="6663" max="6663" width="15.5546875" style="514" customWidth="1"/>
    <col min="6664" max="6664" width="18.6640625" style="514" customWidth="1"/>
    <col min="6665" max="6665" width="22.5546875" style="514" bestFit="1" customWidth="1"/>
    <col min="6666" max="6912" width="9.109375" style="514"/>
    <col min="6913" max="6913" width="7.109375" style="514" customWidth="1"/>
    <col min="6914" max="6914" width="64.5546875" style="514" customWidth="1"/>
    <col min="6915" max="6917" width="0" style="514" hidden="1" customWidth="1"/>
    <col min="6918" max="6918" width="14.6640625" style="514" customWidth="1"/>
    <col min="6919" max="6919" width="15.5546875" style="514" customWidth="1"/>
    <col min="6920" max="6920" width="18.6640625" style="514" customWidth="1"/>
    <col min="6921" max="6921" width="22.5546875" style="514" bestFit="1" customWidth="1"/>
    <col min="6922" max="7168" width="9.109375" style="514"/>
    <col min="7169" max="7169" width="7.109375" style="514" customWidth="1"/>
    <col min="7170" max="7170" width="64.5546875" style="514" customWidth="1"/>
    <col min="7171" max="7173" width="0" style="514" hidden="1" customWidth="1"/>
    <col min="7174" max="7174" width="14.6640625" style="514" customWidth="1"/>
    <col min="7175" max="7175" width="15.5546875" style="514" customWidth="1"/>
    <col min="7176" max="7176" width="18.6640625" style="514" customWidth="1"/>
    <col min="7177" max="7177" width="22.5546875" style="514" bestFit="1" customWidth="1"/>
    <col min="7178" max="7424" width="9.109375" style="514"/>
    <col min="7425" max="7425" width="7.109375" style="514" customWidth="1"/>
    <col min="7426" max="7426" width="64.5546875" style="514" customWidth="1"/>
    <col min="7427" max="7429" width="0" style="514" hidden="1" customWidth="1"/>
    <col min="7430" max="7430" width="14.6640625" style="514" customWidth="1"/>
    <col min="7431" max="7431" width="15.5546875" style="514" customWidth="1"/>
    <col min="7432" max="7432" width="18.6640625" style="514" customWidth="1"/>
    <col min="7433" max="7433" width="22.5546875" style="514" bestFit="1" customWidth="1"/>
    <col min="7434" max="7680" width="9.109375" style="514"/>
    <col min="7681" max="7681" width="7.109375" style="514" customWidth="1"/>
    <col min="7682" max="7682" width="64.5546875" style="514" customWidth="1"/>
    <col min="7683" max="7685" width="0" style="514" hidden="1" customWidth="1"/>
    <col min="7686" max="7686" width="14.6640625" style="514" customWidth="1"/>
    <col min="7687" max="7687" width="15.5546875" style="514" customWidth="1"/>
    <col min="7688" max="7688" width="18.6640625" style="514" customWidth="1"/>
    <col min="7689" max="7689" width="22.5546875" style="514" bestFit="1" customWidth="1"/>
    <col min="7690" max="7936" width="9.109375" style="514"/>
    <col min="7937" max="7937" width="7.109375" style="514" customWidth="1"/>
    <col min="7938" max="7938" width="64.5546875" style="514" customWidth="1"/>
    <col min="7939" max="7941" width="0" style="514" hidden="1" customWidth="1"/>
    <col min="7942" max="7942" width="14.6640625" style="514" customWidth="1"/>
    <col min="7943" max="7943" width="15.5546875" style="514" customWidth="1"/>
    <col min="7944" max="7944" width="18.6640625" style="514" customWidth="1"/>
    <col min="7945" max="7945" width="22.5546875" style="514" bestFit="1" customWidth="1"/>
    <col min="7946" max="8192" width="9.109375" style="514"/>
    <col min="8193" max="8193" width="7.109375" style="514" customWidth="1"/>
    <col min="8194" max="8194" width="64.5546875" style="514" customWidth="1"/>
    <col min="8195" max="8197" width="0" style="514" hidden="1" customWidth="1"/>
    <col min="8198" max="8198" width="14.6640625" style="514" customWidth="1"/>
    <col min="8199" max="8199" width="15.5546875" style="514" customWidth="1"/>
    <col min="8200" max="8200" width="18.6640625" style="514" customWidth="1"/>
    <col min="8201" max="8201" width="22.5546875" style="514" bestFit="1" customWidth="1"/>
    <col min="8202" max="8448" width="9.109375" style="514"/>
    <col min="8449" max="8449" width="7.109375" style="514" customWidth="1"/>
    <col min="8450" max="8450" width="64.5546875" style="514" customWidth="1"/>
    <col min="8451" max="8453" width="0" style="514" hidden="1" customWidth="1"/>
    <col min="8454" max="8454" width="14.6640625" style="514" customWidth="1"/>
    <col min="8455" max="8455" width="15.5546875" style="514" customWidth="1"/>
    <col min="8456" max="8456" width="18.6640625" style="514" customWidth="1"/>
    <col min="8457" max="8457" width="22.5546875" style="514" bestFit="1" customWidth="1"/>
    <col min="8458" max="8704" width="9.109375" style="514"/>
    <col min="8705" max="8705" width="7.109375" style="514" customWidth="1"/>
    <col min="8706" max="8706" width="64.5546875" style="514" customWidth="1"/>
    <col min="8707" max="8709" width="0" style="514" hidden="1" customWidth="1"/>
    <col min="8710" max="8710" width="14.6640625" style="514" customWidth="1"/>
    <col min="8711" max="8711" width="15.5546875" style="514" customWidth="1"/>
    <col min="8712" max="8712" width="18.6640625" style="514" customWidth="1"/>
    <col min="8713" max="8713" width="22.5546875" style="514" bestFit="1" customWidth="1"/>
    <col min="8714" max="8960" width="9.109375" style="514"/>
    <col min="8961" max="8961" width="7.109375" style="514" customWidth="1"/>
    <col min="8962" max="8962" width="64.5546875" style="514" customWidth="1"/>
    <col min="8963" max="8965" width="0" style="514" hidden="1" customWidth="1"/>
    <col min="8966" max="8966" width="14.6640625" style="514" customWidth="1"/>
    <col min="8967" max="8967" width="15.5546875" style="514" customWidth="1"/>
    <col min="8968" max="8968" width="18.6640625" style="514" customWidth="1"/>
    <col min="8969" max="8969" width="22.5546875" style="514" bestFit="1" customWidth="1"/>
    <col min="8970" max="9216" width="9.109375" style="514"/>
    <col min="9217" max="9217" width="7.109375" style="514" customWidth="1"/>
    <col min="9218" max="9218" width="64.5546875" style="514" customWidth="1"/>
    <col min="9219" max="9221" width="0" style="514" hidden="1" customWidth="1"/>
    <col min="9222" max="9222" width="14.6640625" style="514" customWidth="1"/>
    <col min="9223" max="9223" width="15.5546875" style="514" customWidth="1"/>
    <col min="9224" max="9224" width="18.6640625" style="514" customWidth="1"/>
    <col min="9225" max="9225" width="22.5546875" style="514" bestFit="1" customWidth="1"/>
    <col min="9226" max="9472" width="9.109375" style="514"/>
    <col min="9473" max="9473" width="7.109375" style="514" customWidth="1"/>
    <col min="9474" max="9474" width="64.5546875" style="514" customWidth="1"/>
    <col min="9475" max="9477" width="0" style="514" hidden="1" customWidth="1"/>
    <col min="9478" max="9478" width="14.6640625" style="514" customWidth="1"/>
    <col min="9479" max="9479" width="15.5546875" style="514" customWidth="1"/>
    <col min="9480" max="9480" width="18.6640625" style="514" customWidth="1"/>
    <col min="9481" max="9481" width="22.5546875" style="514" bestFit="1" customWidth="1"/>
    <col min="9482" max="9728" width="9.109375" style="514"/>
    <col min="9729" max="9729" width="7.109375" style="514" customWidth="1"/>
    <col min="9730" max="9730" width="64.5546875" style="514" customWidth="1"/>
    <col min="9731" max="9733" width="0" style="514" hidden="1" customWidth="1"/>
    <col min="9734" max="9734" width="14.6640625" style="514" customWidth="1"/>
    <col min="9735" max="9735" width="15.5546875" style="514" customWidth="1"/>
    <col min="9736" max="9736" width="18.6640625" style="514" customWidth="1"/>
    <col min="9737" max="9737" width="22.5546875" style="514" bestFit="1" customWidth="1"/>
    <col min="9738" max="9984" width="9.109375" style="514"/>
    <col min="9985" max="9985" width="7.109375" style="514" customWidth="1"/>
    <col min="9986" max="9986" width="64.5546875" style="514" customWidth="1"/>
    <col min="9987" max="9989" width="0" style="514" hidden="1" customWidth="1"/>
    <col min="9990" max="9990" width="14.6640625" style="514" customWidth="1"/>
    <col min="9991" max="9991" width="15.5546875" style="514" customWidth="1"/>
    <col min="9992" max="9992" width="18.6640625" style="514" customWidth="1"/>
    <col min="9993" max="9993" width="22.5546875" style="514" bestFit="1" customWidth="1"/>
    <col min="9994" max="10240" width="9.109375" style="514"/>
    <col min="10241" max="10241" width="7.109375" style="514" customWidth="1"/>
    <col min="10242" max="10242" width="64.5546875" style="514" customWidth="1"/>
    <col min="10243" max="10245" width="0" style="514" hidden="1" customWidth="1"/>
    <col min="10246" max="10246" width="14.6640625" style="514" customWidth="1"/>
    <col min="10247" max="10247" width="15.5546875" style="514" customWidth="1"/>
    <col min="10248" max="10248" width="18.6640625" style="514" customWidth="1"/>
    <col min="10249" max="10249" width="22.5546875" style="514" bestFit="1" customWidth="1"/>
    <col min="10250" max="10496" width="9.109375" style="514"/>
    <col min="10497" max="10497" width="7.109375" style="514" customWidth="1"/>
    <col min="10498" max="10498" width="64.5546875" style="514" customWidth="1"/>
    <col min="10499" max="10501" width="0" style="514" hidden="1" customWidth="1"/>
    <col min="10502" max="10502" width="14.6640625" style="514" customWidth="1"/>
    <col min="10503" max="10503" width="15.5546875" style="514" customWidth="1"/>
    <col min="10504" max="10504" width="18.6640625" style="514" customWidth="1"/>
    <col min="10505" max="10505" width="22.5546875" style="514" bestFit="1" customWidth="1"/>
    <col min="10506" max="10752" width="9.109375" style="514"/>
    <col min="10753" max="10753" width="7.109375" style="514" customWidth="1"/>
    <col min="10754" max="10754" width="64.5546875" style="514" customWidth="1"/>
    <col min="10755" max="10757" width="0" style="514" hidden="1" customWidth="1"/>
    <col min="10758" max="10758" width="14.6640625" style="514" customWidth="1"/>
    <col min="10759" max="10759" width="15.5546875" style="514" customWidth="1"/>
    <col min="10760" max="10760" width="18.6640625" style="514" customWidth="1"/>
    <col min="10761" max="10761" width="22.5546875" style="514" bestFit="1" customWidth="1"/>
    <col min="10762" max="11008" width="9.109375" style="514"/>
    <col min="11009" max="11009" width="7.109375" style="514" customWidth="1"/>
    <col min="11010" max="11010" width="64.5546875" style="514" customWidth="1"/>
    <col min="11011" max="11013" width="0" style="514" hidden="1" customWidth="1"/>
    <col min="11014" max="11014" width="14.6640625" style="514" customWidth="1"/>
    <col min="11015" max="11015" width="15.5546875" style="514" customWidth="1"/>
    <col min="11016" max="11016" width="18.6640625" style="514" customWidth="1"/>
    <col min="11017" max="11017" width="22.5546875" style="514" bestFit="1" customWidth="1"/>
    <col min="11018" max="11264" width="9.109375" style="514"/>
    <col min="11265" max="11265" width="7.109375" style="514" customWidth="1"/>
    <col min="11266" max="11266" width="64.5546875" style="514" customWidth="1"/>
    <col min="11267" max="11269" width="0" style="514" hidden="1" customWidth="1"/>
    <col min="11270" max="11270" width="14.6640625" style="514" customWidth="1"/>
    <col min="11271" max="11271" width="15.5546875" style="514" customWidth="1"/>
    <col min="11272" max="11272" width="18.6640625" style="514" customWidth="1"/>
    <col min="11273" max="11273" width="22.5546875" style="514" bestFit="1" customWidth="1"/>
    <col min="11274" max="11520" width="9.109375" style="514"/>
    <col min="11521" max="11521" width="7.109375" style="514" customWidth="1"/>
    <col min="11522" max="11522" width="64.5546875" style="514" customWidth="1"/>
    <col min="11523" max="11525" width="0" style="514" hidden="1" customWidth="1"/>
    <col min="11526" max="11526" width="14.6640625" style="514" customWidth="1"/>
    <col min="11527" max="11527" width="15.5546875" style="514" customWidth="1"/>
    <col min="11528" max="11528" width="18.6640625" style="514" customWidth="1"/>
    <col min="11529" max="11529" width="22.5546875" style="514" bestFit="1" customWidth="1"/>
    <col min="11530" max="11776" width="9.109375" style="514"/>
    <col min="11777" max="11777" width="7.109375" style="514" customWidth="1"/>
    <col min="11778" max="11778" width="64.5546875" style="514" customWidth="1"/>
    <col min="11779" max="11781" width="0" style="514" hidden="1" customWidth="1"/>
    <col min="11782" max="11782" width="14.6640625" style="514" customWidth="1"/>
    <col min="11783" max="11783" width="15.5546875" style="514" customWidth="1"/>
    <col min="11784" max="11784" width="18.6640625" style="514" customWidth="1"/>
    <col min="11785" max="11785" width="22.5546875" style="514" bestFit="1" customWidth="1"/>
    <col min="11786" max="12032" width="9.109375" style="514"/>
    <col min="12033" max="12033" width="7.109375" style="514" customWidth="1"/>
    <col min="12034" max="12034" width="64.5546875" style="514" customWidth="1"/>
    <col min="12035" max="12037" width="0" style="514" hidden="1" customWidth="1"/>
    <col min="12038" max="12038" width="14.6640625" style="514" customWidth="1"/>
    <col min="12039" max="12039" width="15.5546875" style="514" customWidth="1"/>
    <col min="12040" max="12040" width="18.6640625" style="514" customWidth="1"/>
    <col min="12041" max="12041" width="22.5546875" style="514" bestFit="1" customWidth="1"/>
    <col min="12042" max="12288" width="9.109375" style="514"/>
    <col min="12289" max="12289" width="7.109375" style="514" customWidth="1"/>
    <col min="12290" max="12290" width="64.5546875" style="514" customWidth="1"/>
    <col min="12291" max="12293" width="0" style="514" hidden="1" customWidth="1"/>
    <col min="12294" max="12294" width="14.6640625" style="514" customWidth="1"/>
    <col min="12295" max="12295" width="15.5546875" style="514" customWidth="1"/>
    <col min="12296" max="12296" width="18.6640625" style="514" customWidth="1"/>
    <col min="12297" max="12297" width="22.5546875" style="514" bestFit="1" customWidth="1"/>
    <col min="12298" max="12544" width="9.109375" style="514"/>
    <col min="12545" max="12545" width="7.109375" style="514" customWidth="1"/>
    <col min="12546" max="12546" width="64.5546875" style="514" customWidth="1"/>
    <col min="12547" max="12549" width="0" style="514" hidden="1" customWidth="1"/>
    <col min="12550" max="12550" width="14.6640625" style="514" customWidth="1"/>
    <col min="12551" max="12551" width="15.5546875" style="514" customWidth="1"/>
    <col min="12552" max="12552" width="18.6640625" style="514" customWidth="1"/>
    <col min="12553" max="12553" width="22.5546875" style="514" bestFit="1" customWidth="1"/>
    <col min="12554" max="12800" width="9.109375" style="514"/>
    <col min="12801" max="12801" width="7.109375" style="514" customWidth="1"/>
    <col min="12802" max="12802" width="64.5546875" style="514" customWidth="1"/>
    <col min="12803" max="12805" width="0" style="514" hidden="1" customWidth="1"/>
    <col min="12806" max="12806" width="14.6640625" style="514" customWidth="1"/>
    <col min="12807" max="12807" width="15.5546875" style="514" customWidth="1"/>
    <col min="12808" max="12808" width="18.6640625" style="514" customWidth="1"/>
    <col min="12809" max="12809" width="22.5546875" style="514" bestFit="1" customWidth="1"/>
    <col min="12810" max="13056" width="9.109375" style="514"/>
    <col min="13057" max="13057" width="7.109375" style="514" customWidth="1"/>
    <col min="13058" max="13058" width="64.5546875" style="514" customWidth="1"/>
    <col min="13059" max="13061" width="0" style="514" hidden="1" customWidth="1"/>
    <col min="13062" max="13062" width="14.6640625" style="514" customWidth="1"/>
    <col min="13063" max="13063" width="15.5546875" style="514" customWidth="1"/>
    <col min="13064" max="13064" width="18.6640625" style="514" customWidth="1"/>
    <col min="13065" max="13065" width="22.5546875" style="514" bestFit="1" customWidth="1"/>
    <col min="13066" max="13312" width="9.109375" style="514"/>
    <col min="13313" max="13313" width="7.109375" style="514" customWidth="1"/>
    <col min="13314" max="13314" width="64.5546875" style="514" customWidth="1"/>
    <col min="13315" max="13317" width="0" style="514" hidden="1" customWidth="1"/>
    <col min="13318" max="13318" width="14.6640625" style="514" customWidth="1"/>
    <col min="13319" max="13319" width="15.5546875" style="514" customWidth="1"/>
    <col min="13320" max="13320" width="18.6640625" style="514" customWidth="1"/>
    <col min="13321" max="13321" width="22.5546875" style="514" bestFit="1" customWidth="1"/>
    <col min="13322" max="13568" width="9.109375" style="514"/>
    <col min="13569" max="13569" width="7.109375" style="514" customWidth="1"/>
    <col min="13570" max="13570" width="64.5546875" style="514" customWidth="1"/>
    <col min="13571" max="13573" width="0" style="514" hidden="1" customWidth="1"/>
    <col min="13574" max="13574" width="14.6640625" style="514" customWidth="1"/>
    <col min="13575" max="13575" width="15.5546875" style="514" customWidth="1"/>
    <col min="13576" max="13576" width="18.6640625" style="514" customWidth="1"/>
    <col min="13577" max="13577" width="22.5546875" style="514" bestFit="1" customWidth="1"/>
    <col min="13578" max="13824" width="9.109375" style="514"/>
    <col min="13825" max="13825" width="7.109375" style="514" customWidth="1"/>
    <col min="13826" max="13826" width="64.5546875" style="514" customWidth="1"/>
    <col min="13827" max="13829" width="0" style="514" hidden="1" customWidth="1"/>
    <col min="13830" max="13830" width="14.6640625" style="514" customWidth="1"/>
    <col min="13831" max="13831" width="15.5546875" style="514" customWidth="1"/>
    <col min="13832" max="13832" width="18.6640625" style="514" customWidth="1"/>
    <col min="13833" max="13833" width="22.5546875" style="514" bestFit="1" customWidth="1"/>
    <col min="13834" max="14080" width="9.109375" style="514"/>
    <col min="14081" max="14081" width="7.109375" style="514" customWidth="1"/>
    <col min="14082" max="14082" width="64.5546875" style="514" customWidth="1"/>
    <col min="14083" max="14085" width="0" style="514" hidden="1" customWidth="1"/>
    <col min="14086" max="14086" width="14.6640625" style="514" customWidth="1"/>
    <col min="14087" max="14087" width="15.5546875" style="514" customWidth="1"/>
    <col min="14088" max="14088" width="18.6640625" style="514" customWidth="1"/>
    <col min="14089" max="14089" width="22.5546875" style="514" bestFit="1" customWidth="1"/>
    <col min="14090" max="14336" width="9.109375" style="514"/>
    <col min="14337" max="14337" width="7.109375" style="514" customWidth="1"/>
    <col min="14338" max="14338" width="64.5546875" style="514" customWidth="1"/>
    <col min="14339" max="14341" width="0" style="514" hidden="1" customWidth="1"/>
    <col min="14342" max="14342" width="14.6640625" style="514" customWidth="1"/>
    <col min="14343" max="14343" width="15.5546875" style="514" customWidth="1"/>
    <col min="14344" max="14344" width="18.6640625" style="514" customWidth="1"/>
    <col min="14345" max="14345" width="22.5546875" style="514" bestFit="1" customWidth="1"/>
    <col min="14346" max="14592" width="9.109375" style="514"/>
    <col min="14593" max="14593" width="7.109375" style="514" customWidth="1"/>
    <col min="14594" max="14594" width="64.5546875" style="514" customWidth="1"/>
    <col min="14595" max="14597" width="0" style="514" hidden="1" customWidth="1"/>
    <col min="14598" max="14598" width="14.6640625" style="514" customWidth="1"/>
    <col min="14599" max="14599" width="15.5546875" style="514" customWidth="1"/>
    <col min="14600" max="14600" width="18.6640625" style="514" customWidth="1"/>
    <col min="14601" max="14601" width="22.5546875" style="514" bestFit="1" customWidth="1"/>
    <col min="14602" max="14848" width="9.109375" style="514"/>
    <col min="14849" max="14849" width="7.109375" style="514" customWidth="1"/>
    <col min="14850" max="14850" width="64.5546875" style="514" customWidth="1"/>
    <col min="14851" max="14853" width="0" style="514" hidden="1" customWidth="1"/>
    <col min="14854" max="14854" width="14.6640625" style="514" customWidth="1"/>
    <col min="14855" max="14855" width="15.5546875" style="514" customWidth="1"/>
    <col min="14856" max="14856" width="18.6640625" style="514" customWidth="1"/>
    <col min="14857" max="14857" width="22.5546875" style="514" bestFit="1" customWidth="1"/>
    <col min="14858" max="15104" width="9.109375" style="514"/>
    <col min="15105" max="15105" width="7.109375" style="514" customWidth="1"/>
    <col min="15106" max="15106" width="64.5546875" style="514" customWidth="1"/>
    <col min="15107" max="15109" width="0" style="514" hidden="1" customWidth="1"/>
    <col min="15110" max="15110" width="14.6640625" style="514" customWidth="1"/>
    <col min="15111" max="15111" width="15.5546875" style="514" customWidth="1"/>
    <col min="15112" max="15112" width="18.6640625" style="514" customWidth="1"/>
    <col min="15113" max="15113" width="22.5546875" style="514" bestFit="1" customWidth="1"/>
    <col min="15114" max="15360" width="9.109375" style="514"/>
    <col min="15361" max="15361" width="7.109375" style="514" customWidth="1"/>
    <col min="15362" max="15362" width="64.5546875" style="514" customWidth="1"/>
    <col min="15363" max="15365" width="0" style="514" hidden="1" customWidth="1"/>
    <col min="15366" max="15366" width="14.6640625" style="514" customWidth="1"/>
    <col min="15367" max="15367" width="15.5546875" style="514" customWidth="1"/>
    <col min="15368" max="15368" width="18.6640625" style="514" customWidth="1"/>
    <col min="15369" max="15369" width="22.5546875" style="514" bestFit="1" customWidth="1"/>
    <col min="15370" max="15616" width="9.109375" style="514"/>
    <col min="15617" max="15617" width="7.109375" style="514" customWidth="1"/>
    <col min="15618" max="15618" width="64.5546875" style="514" customWidth="1"/>
    <col min="15619" max="15621" width="0" style="514" hidden="1" customWidth="1"/>
    <col min="15622" max="15622" width="14.6640625" style="514" customWidth="1"/>
    <col min="15623" max="15623" width="15.5546875" style="514" customWidth="1"/>
    <col min="15624" max="15624" width="18.6640625" style="514" customWidth="1"/>
    <col min="15625" max="15625" width="22.5546875" style="514" bestFit="1" customWidth="1"/>
    <col min="15626" max="15872" width="9.109375" style="514"/>
    <col min="15873" max="15873" width="7.109375" style="514" customWidth="1"/>
    <col min="15874" max="15874" width="64.5546875" style="514" customWidth="1"/>
    <col min="15875" max="15877" width="0" style="514" hidden="1" customWidth="1"/>
    <col min="15878" max="15878" width="14.6640625" style="514" customWidth="1"/>
    <col min="15879" max="15879" width="15.5546875" style="514" customWidth="1"/>
    <col min="15880" max="15880" width="18.6640625" style="514" customWidth="1"/>
    <col min="15881" max="15881" width="22.5546875" style="514" bestFit="1" customWidth="1"/>
    <col min="15882" max="16128" width="9.109375" style="514"/>
    <col min="16129" max="16129" width="7.109375" style="514" customWidth="1"/>
    <col min="16130" max="16130" width="64.5546875" style="514" customWidth="1"/>
    <col min="16131" max="16133" width="0" style="514" hidden="1" customWidth="1"/>
    <col min="16134" max="16134" width="14.6640625" style="514" customWidth="1"/>
    <col min="16135" max="16135" width="15.5546875" style="514" customWidth="1"/>
    <col min="16136" max="16136" width="18.6640625" style="514" customWidth="1"/>
    <col min="16137" max="16137" width="22.5546875" style="514" bestFit="1" customWidth="1"/>
    <col min="16138" max="16384" width="9.109375" style="514"/>
  </cols>
  <sheetData>
    <row r="1" spans="1:9" ht="15.6" x14ac:dyDescent="0.3">
      <c r="B1" s="515"/>
      <c r="C1" s="515"/>
      <c r="D1" s="515"/>
      <c r="E1" s="515"/>
      <c r="F1" s="515"/>
      <c r="G1" s="515"/>
      <c r="H1" s="515"/>
      <c r="I1" s="516" t="s">
        <v>935</v>
      </c>
    </row>
    <row r="2" spans="1:9" ht="15.6" x14ac:dyDescent="0.3">
      <c r="B2" s="515"/>
      <c r="C2" s="515"/>
      <c r="D2" s="515"/>
      <c r="E2" s="515"/>
      <c r="F2" s="515"/>
      <c r="G2" s="515"/>
      <c r="H2" s="515"/>
      <c r="I2" s="516" t="s">
        <v>909</v>
      </c>
    </row>
    <row r="3" spans="1:9" ht="15.6" x14ac:dyDescent="0.3">
      <c r="A3" s="516"/>
      <c r="B3" s="516"/>
      <c r="C3" s="516"/>
      <c r="D3" s="516"/>
      <c r="E3" s="516"/>
      <c r="F3" s="516"/>
      <c r="G3" s="516"/>
      <c r="I3" s="516" t="s">
        <v>1031</v>
      </c>
    </row>
    <row r="4" spans="1:9" ht="15.6" x14ac:dyDescent="0.3">
      <c r="A4" s="515"/>
      <c r="B4" s="515"/>
      <c r="C4" s="515"/>
      <c r="D4" s="515"/>
      <c r="E4" s="515"/>
      <c r="F4" s="515"/>
      <c r="G4" s="515"/>
      <c r="H4" s="901" t="s">
        <v>1561</v>
      </c>
      <c r="I4" s="901"/>
    </row>
    <row r="5" spans="1:9" ht="15.6" x14ac:dyDescent="0.3">
      <c r="A5" s="516"/>
    </row>
    <row r="6" spans="1:9" ht="37.5" customHeight="1" x14ac:dyDescent="0.25">
      <c r="A6" s="902" t="s">
        <v>1035</v>
      </c>
      <c r="B6" s="902"/>
      <c r="C6" s="902"/>
      <c r="D6" s="902"/>
      <c r="E6" s="902"/>
      <c r="F6" s="902"/>
      <c r="G6" s="902"/>
      <c r="H6" s="902"/>
      <c r="I6" s="902"/>
    </row>
    <row r="7" spans="1:9" ht="26.25" customHeight="1" x14ac:dyDescent="0.25">
      <c r="A7" s="517"/>
      <c r="B7" s="517"/>
      <c r="C7" s="518"/>
      <c r="D7" s="518"/>
      <c r="E7" s="518"/>
      <c r="F7" s="518"/>
      <c r="G7" s="518"/>
      <c r="H7" s="518"/>
      <c r="I7" s="519" t="s">
        <v>910</v>
      </c>
    </row>
    <row r="8" spans="1:9" ht="48" customHeight="1" x14ac:dyDescent="0.25">
      <c r="A8" s="903" t="s">
        <v>618</v>
      </c>
      <c r="B8" s="903" t="s">
        <v>936</v>
      </c>
      <c r="C8" s="906" t="s">
        <v>937</v>
      </c>
      <c r="D8" s="906"/>
      <c r="E8" s="906"/>
      <c r="F8" s="907" t="s">
        <v>938</v>
      </c>
      <c r="G8" s="908"/>
      <c r="H8" s="906" t="s">
        <v>939</v>
      </c>
      <c r="I8" s="906"/>
    </row>
    <row r="9" spans="1:9" ht="18.75" customHeight="1" x14ac:dyDescent="0.25">
      <c r="A9" s="904"/>
      <c r="B9" s="904"/>
      <c r="C9" s="520">
        <v>2015</v>
      </c>
      <c r="D9" s="520">
        <v>2016</v>
      </c>
      <c r="E9" s="520">
        <v>2017</v>
      </c>
      <c r="F9" s="909" t="s">
        <v>614</v>
      </c>
      <c r="G9" s="910"/>
      <c r="H9" s="903" t="s">
        <v>940</v>
      </c>
      <c r="I9" s="906" t="s">
        <v>941</v>
      </c>
    </row>
    <row r="10" spans="1:9" ht="55.5" customHeight="1" x14ac:dyDescent="0.25">
      <c r="A10" s="905"/>
      <c r="B10" s="905"/>
      <c r="C10" s="520">
        <v>3</v>
      </c>
      <c r="D10" s="520">
        <v>4</v>
      </c>
      <c r="E10" s="520">
        <v>5</v>
      </c>
      <c r="F10" s="520" t="s">
        <v>942</v>
      </c>
      <c r="G10" s="520" t="s">
        <v>943</v>
      </c>
      <c r="H10" s="905"/>
      <c r="I10" s="906"/>
    </row>
    <row r="11" spans="1:9" ht="60.75" customHeight="1" x14ac:dyDescent="0.25">
      <c r="A11" s="521">
        <v>1</v>
      </c>
      <c r="B11" s="522" t="s">
        <v>33</v>
      </c>
      <c r="C11" s="523">
        <v>34989.599999999999</v>
      </c>
      <c r="D11" s="523">
        <v>33992.699999999997</v>
      </c>
      <c r="E11" s="523">
        <v>34015.5</v>
      </c>
      <c r="F11" s="524">
        <f>Справочно.ЦС!E14</f>
        <v>86901.800000000017</v>
      </c>
      <c r="G11" s="524">
        <f>Справочно.ЦС!F14</f>
        <v>86724.366890000005</v>
      </c>
      <c r="H11" s="525">
        <v>100</v>
      </c>
      <c r="I11" s="854" t="s">
        <v>944</v>
      </c>
    </row>
    <row r="12" spans="1:9" ht="60" customHeight="1" x14ac:dyDescent="0.25">
      <c r="A12" s="527">
        <v>2</v>
      </c>
      <c r="B12" s="528" t="s">
        <v>215</v>
      </c>
      <c r="C12" s="529">
        <v>82483.100000000006</v>
      </c>
      <c r="D12" s="523">
        <v>82232.700000000012</v>
      </c>
      <c r="E12" s="523">
        <v>77044.799999999988</v>
      </c>
      <c r="F12" s="524">
        <f>Справочно.ЦС!E64</f>
        <v>676024.19055000006</v>
      </c>
      <c r="G12" s="524">
        <f>Справочно.ЦС!F64</f>
        <v>673276.19071000011</v>
      </c>
      <c r="H12" s="525">
        <v>100</v>
      </c>
      <c r="I12" s="854" t="s">
        <v>944</v>
      </c>
    </row>
    <row r="13" spans="1:9" ht="57.75" customHeight="1" x14ac:dyDescent="0.25">
      <c r="A13" s="527">
        <v>3</v>
      </c>
      <c r="B13" s="528" t="s">
        <v>255</v>
      </c>
      <c r="C13" s="523"/>
      <c r="D13" s="523"/>
      <c r="E13" s="523"/>
      <c r="F13" s="524">
        <f>Справочно.ЦС!E194</f>
        <v>5980.0812700000006</v>
      </c>
      <c r="G13" s="524">
        <f>Справочно.ЦС!F194</f>
        <v>4810.5467200000003</v>
      </c>
      <c r="H13" s="525">
        <v>100</v>
      </c>
      <c r="I13" s="854" t="s">
        <v>944</v>
      </c>
    </row>
    <row r="14" spans="1:9" ht="66" customHeight="1" x14ac:dyDescent="0.25">
      <c r="A14" s="527">
        <v>4</v>
      </c>
      <c r="B14" s="528" t="s">
        <v>270</v>
      </c>
      <c r="C14" s="523">
        <v>1100</v>
      </c>
      <c r="D14" s="523">
        <v>400</v>
      </c>
      <c r="E14" s="523">
        <v>400</v>
      </c>
      <c r="F14" s="524">
        <f>Справочно.ЦС!E209</f>
        <v>11635.487130000001</v>
      </c>
      <c r="G14" s="524">
        <f>Справочно.ЦС!F209</f>
        <v>11450.119180000002</v>
      </c>
      <c r="H14" s="525">
        <v>100</v>
      </c>
      <c r="I14" s="854" t="s">
        <v>944</v>
      </c>
    </row>
    <row r="15" spans="1:9" ht="66" customHeight="1" x14ac:dyDescent="0.25">
      <c r="A15" s="527">
        <v>5</v>
      </c>
      <c r="B15" s="528" t="s">
        <v>64</v>
      </c>
      <c r="C15" s="523">
        <v>26086.5</v>
      </c>
      <c r="D15" s="523">
        <v>27033.1</v>
      </c>
      <c r="E15" s="523">
        <v>29069.9</v>
      </c>
      <c r="F15" s="524">
        <f>Справочно.ЦС!E233</f>
        <v>190817.35621</v>
      </c>
      <c r="G15" s="524">
        <f>Справочно.ЦС!F233</f>
        <v>110678.97795000001</v>
      </c>
      <c r="H15" s="525">
        <v>100</v>
      </c>
      <c r="I15" s="854" t="s">
        <v>944</v>
      </c>
    </row>
    <row r="16" spans="1:9" ht="60.75" customHeight="1" x14ac:dyDescent="0.25">
      <c r="A16" s="527">
        <v>6</v>
      </c>
      <c r="B16" s="528" t="s">
        <v>72</v>
      </c>
      <c r="C16" s="523">
        <v>8853.4</v>
      </c>
      <c r="D16" s="523">
        <v>9248</v>
      </c>
      <c r="E16" s="523">
        <v>9914.6</v>
      </c>
      <c r="F16" s="524">
        <f>Справочно.ЦС!E294</f>
        <v>6837.3541000000005</v>
      </c>
      <c r="G16" s="524">
        <f>Справочно.ЦС!F294</f>
        <v>6837.3541000000005</v>
      </c>
      <c r="H16" s="525">
        <v>100</v>
      </c>
      <c r="I16" s="854" t="s">
        <v>944</v>
      </c>
    </row>
    <row r="17" spans="1:9" ht="80.25" customHeight="1" x14ac:dyDescent="0.25">
      <c r="A17" s="527">
        <v>7</v>
      </c>
      <c r="B17" s="528" t="s">
        <v>469</v>
      </c>
      <c r="C17" s="523">
        <v>2632.2</v>
      </c>
      <c r="D17" s="523">
        <v>2626.2</v>
      </c>
      <c r="E17" s="523">
        <v>2641.2</v>
      </c>
      <c r="F17" s="524">
        <f>Справочно.ЦС!E309</f>
        <v>818.8</v>
      </c>
      <c r="G17" s="524">
        <f>Справочно.ЦС!F309</f>
        <v>801.99221999999986</v>
      </c>
      <c r="H17" s="525">
        <v>100</v>
      </c>
      <c r="I17" s="854" t="s">
        <v>944</v>
      </c>
    </row>
    <row r="18" spans="1:9" ht="62.25" customHeight="1" x14ac:dyDescent="0.25">
      <c r="A18" s="521">
        <v>8</v>
      </c>
      <c r="B18" s="528" t="s">
        <v>946</v>
      </c>
      <c r="C18" s="523">
        <v>1500</v>
      </c>
      <c r="D18" s="523">
        <v>1500</v>
      </c>
      <c r="E18" s="523">
        <v>1500</v>
      </c>
      <c r="F18" s="524">
        <f>Справочно.ЦС!E328</f>
        <v>852.17469000000006</v>
      </c>
      <c r="G18" s="524">
        <f>Справочно.ЦС!F328</f>
        <v>839.76864999999998</v>
      </c>
      <c r="H18" s="1156">
        <v>80</v>
      </c>
      <c r="I18" s="1157" t="s">
        <v>945</v>
      </c>
    </row>
    <row r="19" spans="1:9" ht="56.25" customHeight="1" x14ac:dyDescent="0.25">
      <c r="A19" s="521">
        <v>9</v>
      </c>
      <c r="B19" s="528" t="s">
        <v>292</v>
      </c>
      <c r="C19" s="523">
        <v>4500</v>
      </c>
      <c r="D19" s="523">
        <v>4500</v>
      </c>
      <c r="E19" s="523">
        <v>0</v>
      </c>
      <c r="F19" s="524">
        <f>Справочно.ЦС!E358</f>
        <v>84613.506150000001</v>
      </c>
      <c r="G19" s="524">
        <f>Справочно.ЦС!F358</f>
        <v>76422.520220000006</v>
      </c>
      <c r="H19" s="525">
        <v>75</v>
      </c>
      <c r="I19" s="1157" t="s">
        <v>945</v>
      </c>
    </row>
    <row r="20" spans="1:9" ht="64.5" customHeight="1" x14ac:dyDescent="0.25">
      <c r="A20" s="520">
        <v>10</v>
      </c>
      <c r="B20" s="528" t="s">
        <v>415</v>
      </c>
      <c r="C20" s="523">
        <v>2008.6</v>
      </c>
      <c r="D20" s="523">
        <v>1433.5</v>
      </c>
      <c r="E20" s="523">
        <v>3196.7</v>
      </c>
      <c r="F20" s="524">
        <f>Справочно.ЦС!E451</f>
        <v>157798.98454999999</v>
      </c>
      <c r="G20" s="524">
        <f>Справочно.ЦС!F451</f>
        <v>157067.42397</v>
      </c>
      <c r="H20" s="526">
        <v>100</v>
      </c>
      <c r="I20" s="527" t="s">
        <v>944</v>
      </c>
    </row>
    <row r="21" spans="1:9" ht="64.5" customHeight="1" x14ac:dyDescent="0.25">
      <c r="A21" s="530">
        <v>11</v>
      </c>
      <c r="B21" s="528" t="s">
        <v>302</v>
      </c>
      <c r="C21" s="523"/>
      <c r="D21" s="523"/>
      <c r="E21" s="523"/>
      <c r="F21" s="524">
        <f>Справочно.ЦС!E488</f>
        <v>8730.6788299999989</v>
      </c>
      <c r="G21" s="524">
        <f>Справочно.ЦС!F488</f>
        <v>8730.6788299999989</v>
      </c>
      <c r="H21" s="531">
        <v>100</v>
      </c>
      <c r="I21" s="854" t="s">
        <v>944</v>
      </c>
    </row>
    <row r="22" spans="1:9" ht="70.5" customHeight="1" x14ac:dyDescent="0.25">
      <c r="A22" s="530">
        <v>12</v>
      </c>
      <c r="B22" s="528" t="str">
        <f>'[2]справочно по ЦС'!$C$525</f>
        <v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v>
      </c>
      <c r="C22" s="523"/>
      <c r="D22" s="523"/>
      <c r="E22" s="523"/>
      <c r="F22" s="524">
        <f>Справочно.ЦС!E500</f>
        <v>27249</v>
      </c>
      <c r="G22" s="524">
        <f>Справочно.ЦС!F500</f>
        <v>27243.925380000001</v>
      </c>
      <c r="H22" s="531">
        <v>100</v>
      </c>
      <c r="I22" s="854" t="s">
        <v>944</v>
      </c>
    </row>
    <row r="23" spans="1:9" ht="70.5" customHeight="1" x14ac:dyDescent="0.25">
      <c r="A23" s="530">
        <v>13</v>
      </c>
      <c r="B23" s="528" t="s">
        <v>609</v>
      </c>
      <c r="C23" s="523"/>
      <c r="D23" s="523"/>
      <c r="E23" s="523"/>
      <c r="F23" s="524">
        <f>Справочно.ЦС!E525</f>
        <v>5699.3600200000001</v>
      </c>
      <c r="G23" s="524">
        <f>Справочно.ЦС!F525</f>
        <v>5699.36</v>
      </c>
      <c r="H23" s="531">
        <v>100</v>
      </c>
      <c r="I23" s="854" t="s">
        <v>944</v>
      </c>
    </row>
    <row r="24" spans="1:9" ht="64.5" customHeight="1" x14ac:dyDescent="0.25">
      <c r="A24" s="530">
        <v>14</v>
      </c>
      <c r="B24" s="528" t="s">
        <v>1560</v>
      </c>
      <c r="C24" s="523"/>
      <c r="D24" s="523"/>
      <c r="E24" s="523"/>
      <c r="F24" s="524">
        <f>Справочно.ЦС!E539</f>
        <v>8532.1059299999997</v>
      </c>
      <c r="G24" s="524">
        <f>Справочно.ЦС!F539</f>
        <v>7942.5257700000002</v>
      </c>
      <c r="H24" s="531">
        <v>50</v>
      </c>
      <c r="I24" s="854" t="s">
        <v>945</v>
      </c>
    </row>
    <row r="25" spans="1:9" ht="28.5" customHeight="1" x14ac:dyDescent="0.35">
      <c r="A25" s="899" t="s">
        <v>836</v>
      </c>
      <c r="B25" s="900"/>
      <c r="C25" s="532">
        <f>SUM(C11:C20)</f>
        <v>164153.40000000002</v>
      </c>
      <c r="D25" s="532">
        <f>SUM(D11:D20)</f>
        <v>162966.20000000001</v>
      </c>
      <c r="E25" s="532">
        <f>SUM(E11:E20)</f>
        <v>157782.70000000001</v>
      </c>
      <c r="F25" s="533">
        <f>SUM(F11:F24)</f>
        <v>1272490.8794300002</v>
      </c>
      <c r="G25" s="533">
        <f>SUM(G11:G24)</f>
        <v>1178525.7505900003</v>
      </c>
      <c r="H25" s="534"/>
      <c r="I25" s="535"/>
    </row>
  </sheetData>
  <mergeCells count="11">
    <mergeCell ref="A25:B25"/>
    <mergeCell ref="H4:I4"/>
    <mergeCell ref="A6:I6"/>
    <mergeCell ref="A8:A10"/>
    <mergeCell ref="B8:B10"/>
    <mergeCell ref="C8:E8"/>
    <mergeCell ref="F8:G8"/>
    <mergeCell ref="H8:I8"/>
    <mergeCell ref="F9:G9"/>
    <mergeCell ref="H9:H10"/>
    <mergeCell ref="I9:I10"/>
  </mergeCells>
  <pageMargins left="1.1023622047244095" right="0.31496062992125984" top="0.15748031496062992" bottom="0.15748031496062992" header="0.31496062992125984" footer="0.31496062992125984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633"/>
  <sheetViews>
    <sheetView view="pageBreakPreview" zoomScale="75" zoomScaleSheetLayoutView="75" workbookViewId="0">
      <pane xSplit="3" ySplit="8" topLeftCell="D174" activePane="bottomRight" state="frozen"/>
      <selection pane="topRight" activeCell="D1" sqref="D1"/>
      <selection pane="bottomLeft" activeCell="A11" sqref="A11"/>
      <selection pane="bottomRight" activeCell="D174" sqref="D174"/>
    </sheetView>
  </sheetViews>
  <sheetFormatPr defaultColWidth="9.109375" defaultRowHeight="13.2" x14ac:dyDescent="0.25"/>
  <cols>
    <col min="1" max="1" width="14.6640625" style="136" customWidth="1"/>
    <col min="2" max="2" width="12.5546875" style="136" customWidth="1"/>
    <col min="3" max="3" width="44.88671875" style="136" customWidth="1"/>
    <col min="4" max="8" width="16.88671875" style="136" customWidth="1"/>
    <col min="9" max="16384" width="9.109375" style="136"/>
  </cols>
  <sheetData>
    <row r="1" spans="1:8" ht="15.6" x14ac:dyDescent="0.3">
      <c r="A1" s="1"/>
      <c r="B1" s="1"/>
      <c r="C1" s="1"/>
      <c r="D1" s="536"/>
      <c r="E1" s="536"/>
      <c r="F1" s="536"/>
      <c r="G1" s="515"/>
      <c r="H1" s="516" t="s">
        <v>935</v>
      </c>
    </row>
    <row r="2" spans="1:8" ht="15.6" x14ac:dyDescent="0.3">
      <c r="A2" s="1"/>
      <c r="B2" s="1"/>
      <c r="C2" s="1"/>
      <c r="D2" s="536"/>
      <c r="E2" s="536"/>
      <c r="F2" s="536"/>
      <c r="G2" s="515"/>
      <c r="H2" s="516" t="s">
        <v>909</v>
      </c>
    </row>
    <row r="3" spans="1:8" ht="15.6" x14ac:dyDescent="0.3">
      <c r="A3" s="1"/>
      <c r="B3" s="1"/>
      <c r="C3" s="1"/>
      <c r="D3" s="536"/>
      <c r="E3" s="536"/>
      <c r="F3" s="536"/>
      <c r="G3" s="514"/>
      <c r="H3" s="516" t="s">
        <v>1031</v>
      </c>
    </row>
    <row r="4" spans="1:8" ht="15.6" x14ac:dyDescent="0.3">
      <c r="A4" s="1"/>
      <c r="B4" s="1"/>
      <c r="C4" s="1"/>
      <c r="D4" s="536"/>
      <c r="E4" s="536"/>
      <c r="F4" s="536"/>
      <c r="G4" s="901" t="s">
        <v>1561</v>
      </c>
      <c r="H4" s="901"/>
    </row>
    <row r="6" spans="1:8" ht="33" customHeight="1" x14ac:dyDescent="0.25">
      <c r="A6" s="911" t="s">
        <v>692</v>
      </c>
      <c r="B6" s="911"/>
      <c r="C6" s="911"/>
      <c r="D6" s="911"/>
      <c r="E6" s="911"/>
      <c r="F6" s="911"/>
      <c r="G6" s="911"/>
      <c r="H6" s="911"/>
    </row>
    <row r="8" spans="1:8" ht="36" customHeight="1" x14ac:dyDescent="0.25">
      <c r="A8" s="345" t="s">
        <v>559</v>
      </c>
      <c r="B8" s="345" t="s">
        <v>558</v>
      </c>
      <c r="C8" s="345" t="s">
        <v>557</v>
      </c>
      <c r="D8" s="537" t="s">
        <v>851</v>
      </c>
      <c r="E8" s="537" t="s">
        <v>852</v>
      </c>
      <c r="F8" s="537" t="s">
        <v>853</v>
      </c>
      <c r="G8" s="537" t="s">
        <v>854</v>
      </c>
      <c r="H8" s="537" t="s">
        <v>947</v>
      </c>
    </row>
    <row r="9" spans="1:8" ht="26.4" x14ac:dyDescent="0.25">
      <c r="A9" s="103" t="s">
        <v>36</v>
      </c>
      <c r="B9" s="172"/>
      <c r="C9" s="3" t="s">
        <v>35</v>
      </c>
      <c r="D9" s="229">
        <f>D14+D64+D194+D209+D233+D294+D309+D328+D358+D451+D488+D500+D525+D539</f>
        <v>1109562.0207400001</v>
      </c>
      <c r="E9" s="229">
        <f>E14+E64+E194+E209+E233+E294+E309+E328+E358+E451+E488+E500+E525+E539</f>
        <v>1272490.8794300002</v>
      </c>
      <c r="F9" s="229">
        <f>F14+F64+F194+F209+F233+F294+F309+F328+F358+F451+F488+F500+F525+F539</f>
        <v>1178525.7505900003</v>
      </c>
      <c r="G9" s="654">
        <f>F9/E9*100</f>
        <v>92.615654040515352</v>
      </c>
      <c r="H9" s="229">
        <f>E9-F9</f>
        <v>93965.128839999903</v>
      </c>
    </row>
    <row r="10" spans="1:8" x14ac:dyDescent="0.25">
      <c r="A10" s="103"/>
      <c r="B10" s="172"/>
      <c r="C10" s="3" t="s">
        <v>587</v>
      </c>
      <c r="D10" s="229" t="e">
        <f>D50+D52+D55+D109+D111+#REF!+D200+#REF!+D363+#REF!+D529+#REF!+#REF!</f>
        <v>#REF!</v>
      </c>
      <c r="E10" s="229" t="e">
        <f>E50+E52+E55+E109+E111+#REF!+E200+#REF!+E363+#REF!+E529+#REF!+#REF!</f>
        <v>#REF!</v>
      </c>
      <c r="F10" s="229" t="e">
        <f>F50+F52+F55+F109+F111+#REF!+F200+#REF!+F363+#REF!+F529+#REF!+#REF!</f>
        <v>#REF!</v>
      </c>
      <c r="G10" s="229" t="e">
        <f>G50+G52+G55+G109+G111+#REF!+G200+#REF!+G363+#REF!+G529+#REF!+#REF!</f>
        <v>#REF!</v>
      </c>
      <c r="H10" s="229" t="e">
        <f>H50+H52+H55+H109+H111+#REF!+H200+#REF!+H363+#REF!+H529+#REF!+#REF!</f>
        <v>#REF!</v>
      </c>
    </row>
    <row r="11" spans="1:8" x14ac:dyDescent="0.25">
      <c r="A11" s="103"/>
      <c r="B11" s="172"/>
      <c r="C11" s="3" t="s">
        <v>588</v>
      </c>
      <c r="D11" s="229" t="e">
        <f>D34+D37+D40+D42+D45+D48+D69+D72+D86+D90+D103+D105+D149+D161+D164+#REF!+D196+D201+D204+#REF!+D206+D228+#REF!+D321+D364+D462+#REF!+D498+D530+D545+#REF!+#REF!+D80+#REF!+#REF!+D303</f>
        <v>#REF!</v>
      </c>
      <c r="E11" s="229" t="e">
        <f>E34+E37+E40+E42+E45+E48+E69+E72+E86+E90+E103+E105+E149+E161+E164+#REF!+E196+E201+E204+#REF!+E206+E228+#REF!+E321+E364+E462+#REF!+E498+E530+E545+#REF!+#REF!+E80+#REF!+#REF!+E303</f>
        <v>#REF!</v>
      </c>
      <c r="F11" s="229" t="e">
        <f>F34+F37+F40+F42+F45+F48+F69+F72+F86+F90+F103+F105+F149+F161+F164+#REF!+F196+F201+F204+#REF!+F206+F228+#REF!+F321+F364+F462+#REF!+F498+F530+F545+#REF!+#REF!+F80+#REF!+#REF!+F303</f>
        <v>#REF!</v>
      </c>
      <c r="G11" s="229" t="e">
        <f>G34+G37+G40+G42+G45+G48+G69+G72+G86+G90+G103+G105+G149+G161+G164+#REF!+G196+G201+G204+#REF!+G206+G228+#REF!+G321+G364+G462+#REF!+G498+G530+G545+#REF!+#REF!+G80+#REF!+#REF!+G303</f>
        <v>#REF!</v>
      </c>
      <c r="H11" s="229" t="e">
        <f>H34+H37+H40+H42+H45+H48+H69+H72+H86+H90+H103+H105+H149+H161+H164+#REF!+H196+H201+H204+#REF!+H206+H228+#REF!+H321+H364+H462+#REF!+H498+H530+H545+#REF!+#REF!+H80+#REF!+#REF!+H303</f>
        <v>#REF!</v>
      </c>
    </row>
    <row r="12" spans="1:8" x14ac:dyDescent="0.25">
      <c r="A12" s="103"/>
      <c r="B12" s="172"/>
      <c r="C12" s="3" t="s">
        <v>589</v>
      </c>
      <c r="D12" s="229" t="e">
        <f>D17+D19+D23+D25+D30+D60+D62+D67+D74+D76+D84+D91+D95+D97+D99+D101+D118+D129+D131+D133+D135+D137+D139+D141+D145+D147+D156+D158+#REF!+#REF!+D188+D202+#REF!+D211+D214+D216+D220+D229+D232+D236+D239+D241+D244+D247+D250+D252+D254+#REF!+D270+#REF!+#REF!+D289+#REF!+D293+D297+D301+#REF!+#REF!+D313+D315+D322+D323+D325+#REF!+D327+D332+D334+D337+D346+D349+D351+D353+D355+D365+D374+D377+D380+D394+D396+D398+D400+D402+D404+#REF!+D411+D414+D431+D434+D436+#REF!+D440+D442+#REF!+D458+D463+D465+D467+D470+#REF!+D480+D484+D499+D503+D505+D507+D509+D514+D515+D519+D523+D531+D542+D546+D559+D265+D371+D389+D385+D408+D438+D81+D445+D277+D275+D223+D510+D381+#REF!+#REF!</f>
        <v>#REF!</v>
      </c>
      <c r="E12" s="229" t="e">
        <f>E17+E19+E23+E25+E30+E60+E62+E67+E74+E76+E84+E91+E95+E97+E99+E101+E118+E129+E131+E133+E135+E137+E139+E141+E145+E147+E156+E158+#REF!+#REF!+E188+E202+#REF!+E211+E214+E216+E220+E229+E232+E236+E239+E241+E244+E247+E250+E252+E254+#REF!+E270+#REF!+#REF!+E289+#REF!+E293+E297+E301+#REF!+#REF!+E313+E315+E322+E323+E325+#REF!+E327+E332+E334+E337+E346+E349+E351+E353+E355+E365+E374+E377+E380+E394+E396+E398+E400+E402+E404+#REF!+E411+E414+E431+E434+E436+#REF!+E440+E442+#REF!+E458+E463+E465+E467+E470+#REF!+E480+E484+E499+E503+E505+E507+E509+E514+E515+E519+E523+E531+E542+E546+E559+E265+E371+E389+E385+E408+E438+E81+E445+E277+E275+E223+E510+E381+#REF!+#REF!</f>
        <v>#REF!</v>
      </c>
      <c r="F12" s="229" t="e">
        <f>F17+F19+F23+F25+F30+F60+F62+F67+F74+F76+F84+F91+F95+F97+F99+F101+F118+F129+F131+F133+F135+F137+F139+F141+F145+F147+F156+F158+#REF!+#REF!+F188+F202+#REF!+F211+F214+F216+F220+F229+F232+F236+F239+F241+F244+F247+F250+F252+F254+#REF!+F270+#REF!+#REF!+F289+#REF!+F293+F297+F301+#REF!+#REF!+F313+F315+F322+F323+F325+#REF!+F327+F332+F334+F337+F346+F349+F351+F353+F355+F365+F374+F377+F380+F394+F396+F398+F400+F402+F404+#REF!+F411+F414+F431+F434+F436+#REF!+F440+F442+#REF!+F458+F463+F465+F467+F470+#REF!+F480+F484+F499+F503+F505+F507+F509+F514+F515+F519+F523+F531+F542+F546+F559+F265+F371+F389+F385+F408+F438+F81+F445+F277+F275+F223+F510+F381+#REF!+#REF!</f>
        <v>#REF!</v>
      </c>
      <c r="G12" s="229" t="e">
        <f>G17+G19+G23+G25+G30+G60+G62+G67+G74+G76+G84+G91+G95+G97+G99+G101+G118+G129+G131+G133+G135+G137+G139+G141+G145+G147+G156+G158+#REF!+#REF!+G188+G202+#REF!+G211+G214+G216+G220+G229+G232+G236+G239+G241+G244+G247+G250+G252+G254+#REF!+G270+#REF!+#REF!+G289+#REF!+G293+G297+G301+#REF!+#REF!+G313+G315+G322+G323+G325+#REF!+G327+G332+G334+G337+G346+G349+G351+G353+G355+G365+G374+G377+G380+G394+G396+G398+G400+G402+G404+#REF!+G411+G414+G431+G434+G436+#REF!+G440+G442+#REF!+G458+G463+G465+G467+G470+#REF!+G480+G484+G499+G503+G505+G507+G509+G514+G515+G519+G523+G531+G542+G546+G559+G265+G371+G389+G385+G408+G438+G81+G445+G277+G275+G223+G510+G381+#REF!+#REF!</f>
        <v>#REF!</v>
      </c>
      <c r="H12" s="229" t="e">
        <f>H17+H19+H23+H25+H30+H60+H62+H67+H74+H76+H84+H91+H95+H97+H99+H101+H118+H129+H131+H133+H135+H137+H139+H141+H145+H147+H156+H158+#REF!+#REF!+H188+H202+#REF!+H211+H214+H216+H220+H229+H232+H236+H239+H241+H244+H247+H250+H252+H254+#REF!+H270+#REF!+#REF!+H289+#REF!+H293+H297+H301+#REF!+#REF!+H313+H315+H322+H323+H325+#REF!+H327+H332+H334+H337+H346+H349+H351+H353+H355+H365+H374+H377+H380+H394+H396+H398+H400+H402+H404+#REF!+H411+H414+H431+H434+H436+#REF!+H440+H442+#REF!+H458+H463+H465+H467+H470+#REF!+H480+H484+H499+H503+H505+H507+H509+H514+H515+H519+H523+H531+H542+H546+H559+H265+H371+H389+H385+H408+H438+H81+H445+H277+H275+H223+H510+H381+#REF!+#REF!</f>
        <v>#REF!</v>
      </c>
    </row>
    <row r="13" spans="1:8" x14ac:dyDescent="0.25">
      <c r="A13" s="103"/>
      <c r="B13" s="172"/>
      <c r="C13" s="3" t="s">
        <v>590</v>
      </c>
      <c r="D13" s="229" t="e">
        <f>D372+#REF!</f>
        <v>#REF!</v>
      </c>
      <c r="E13" s="229" t="e">
        <f>E372+#REF!</f>
        <v>#REF!</v>
      </c>
      <c r="F13" s="229" t="e">
        <f>F372+#REF!</f>
        <v>#REF!</v>
      </c>
      <c r="G13" s="229" t="e">
        <f>G372+#REF!</f>
        <v>#REF!</v>
      </c>
      <c r="H13" s="229" t="e">
        <f>H372+#REF!</f>
        <v>#REF!</v>
      </c>
    </row>
    <row r="14" spans="1:8" s="1" customFormat="1" ht="40.200000000000003" x14ac:dyDescent="0.3">
      <c r="A14" s="206" t="s">
        <v>34</v>
      </c>
      <c r="B14" s="206"/>
      <c r="C14" s="207" t="s">
        <v>33</v>
      </c>
      <c r="D14" s="230">
        <f>D15+D21+D32+D58</f>
        <v>86536.000000000015</v>
      </c>
      <c r="E14" s="230">
        <f>E15+E21+E32+E58</f>
        <v>86901.800000000017</v>
      </c>
      <c r="F14" s="230">
        <f>F15+F21+F32+F58</f>
        <v>86724.366890000005</v>
      </c>
      <c r="G14" s="655">
        <f t="shared" ref="G14:G78" si="0">F14/E14*100</f>
        <v>99.795823435187742</v>
      </c>
      <c r="H14" s="230">
        <f t="shared" ref="H14:H78" si="1">E14-F14</f>
        <v>177.43311000001268</v>
      </c>
    </row>
    <row r="15" spans="1:8" s="1" customFormat="1" ht="27" x14ac:dyDescent="0.3">
      <c r="A15" s="31" t="s">
        <v>528</v>
      </c>
      <c r="B15" s="31"/>
      <c r="C15" s="52" t="s">
        <v>527</v>
      </c>
      <c r="D15" s="231">
        <f>D16</f>
        <v>1841.1000000000001</v>
      </c>
      <c r="E15" s="231">
        <f t="shared" ref="E15:F15" si="2">E16</f>
        <v>1841.1000000000001</v>
      </c>
      <c r="F15" s="231">
        <f t="shared" si="2"/>
        <v>1840.6100000000001</v>
      </c>
      <c r="G15" s="656">
        <f t="shared" si="0"/>
        <v>99.973385476074085</v>
      </c>
      <c r="H15" s="231">
        <f t="shared" si="1"/>
        <v>0.49000000000000909</v>
      </c>
    </row>
    <row r="16" spans="1:8" s="1" customFormat="1" ht="27" x14ac:dyDescent="0.3">
      <c r="A16" s="190" t="s">
        <v>526</v>
      </c>
      <c r="B16" s="190"/>
      <c r="C16" s="191" t="s">
        <v>525</v>
      </c>
      <c r="D16" s="232">
        <f>D17+D19</f>
        <v>1841.1000000000001</v>
      </c>
      <c r="E16" s="232">
        <f t="shared" ref="E16:F16" si="3">E17+E19</f>
        <v>1841.1000000000001</v>
      </c>
      <c r="F16" s="232">
        <f t="shared" si="3"/>
        <v>1840.6100000000001</v>
      </c>
      <c r="G16" s="657">
        <f t="shared" si="0"/>
        <v>99.973385476074085</v>
      </c>
      <c r="H16" s="232">
        <f t="shared" si="1"/>
        <v>0.49000000000000909</v>
      </c>
    </row>
    <row r="17" spans="1:8" s="1" customFormat="1" ht="79.8" x14ac:dyDescent="0.3">
      <c r="A17" s="7" t="s">
        <v>524</v>
      </c>
      <c r="B17" s="61"/>
      <c r="C17" s="6" t="s">
        <v>591</v>
      </c>
      <c r="D17" s="233">
        <f>D18</f>
        <v>1771.7</v>
      </c>
      <c r="E17" s="233">
        <f t="shared" ref="E17:F17" si="4">E18</f>
        <v>1771.7</v>
      </c>
      <c r="F17" s="233">
        <f t="shared" si="4"/>
        <v>1771.21</v>
      </c>
      <c r="G17" s="658">
        <f t="shared" si="0"/>
        <v>99.972342947451594</v>
      </c>
      <c r="H17" s="233">
        <f t="shared" si="1"/>
        <v>0.49000000000000909</v>
      </c>
    </row>
    <row r="18" spans="1:8" s="1" customFormat="1" ht="27" x14ac:dyDescent="0.3">
      <c r="A18" s="7"/>
      <c r="B18" s="7" t="s">
        <v>12</v>
      </c>
      <c r="C18" s="6" t="s">
        <v>11</v>
      </c>
      <c r="D18" s="233">
        <v>1771.7</v>
      </c>
      <c r="E18" s="233">
        <v>1771.7</v>
      </c>
      <c r="F18" s="233">
        <v>1771.21</v>
      </c>
      <c r="G18" s="658">
        <f t="shared" si="0"/>
        <v>99.972342947451594</v>
      </c>
      <c r="H18" s="233">
        <f t="shared" si="1"/>
        <v>0.49000000000000909</v>
      </c>
    </row>
    <row r="19" spans="1:8" s="1" customFormat="1" ht="40.200000000000003" x14ac:dyDescent="0.3">
      <c r="A19" s="7" t="s">
        <v>696</v>
      </c>
      <c r="B19" s="7"/>
      <c r="C19" s="6" t="s">
        <v>522</v>
      </c>
      <c r="D19" s="233">
        <f>D20</f>
        <v>69.400000000000006</v>
      </c>
      <c r="E19" s="233">
        <f t="shared" ref="E19:F19" si="5">E20</f>
        <v>69.400000000000006</v>
      </c>
      <c r="F19" s="233">
        <f t="shared" si="5"/>
        <v>69.400000000000006</v>
      </c>
      <c r="G19" s="658">
        <f t="shared" si="0"/>
        <v>100</v>
      </c>
      <c r="H19" s="233">
        <f t="shared" si="1"/>
        <v>0</v>
      </c>
    </row>
    <row r="20" spans="1:8" s="1" customFormat="1" ht="27" x14ac:dyDescent="0.3">
      <c r="A20" s="7"/>
      <c r="B20" s="7" t="s">
        <v>12</v>
      </c>
      <c r="C20" s="6" t="s">
        <v>11</v>
      </c>
      <c r="D20" s="233">
        <v>69.400000000000006</v>
      </c>
      <c r="E20" s="233">
        <v>69.400000000000006</v>
      </c>
      <c r="F20" s="233">
        <v>69.400000000000006</v>
      </c>
      <c r="G20" s="658">
        <f t="shared" si="0"/>
        <v>100</v>
      </c>
      <c r="H20" s="233">
        <f t="shared" si="1"/>
        <v>0</v>
      </c>
    </row>
    <row r="21" spans="1:8" s="1" customFormat="1" ht="53.4" x14ac:dyDescent="0.3">
      <c r="A21" s="31" t="s">
        <v>32</v>
      </c>
      <c r="B21" s="31"/>
      <c r="C21" s="30" t="s">
        <v>31</v>
      </c>
      <c r="D21" s="231">
        <f t="shared" ref="D21:F21" si="6">D22</f>
        <v>78899.100000000006</v>
      </c>
      <c r="E21" s="231">
        <f t="shared" si="6"/>
        <v>78887.100000000006</v>
      </c>
      <c r="F21" s="231">
        <f t="shared" si="6"/>
        <v>78710.157489999998</v>
      </c>
      <c r="G21" s="656">
        <f t="shared" si="0"/>
        <v>99.775701591261424</v>
      </c>
      <c r="H21" s="231">
        <f t="shared" si="1"/>
        <v>176.94251000000804</v>
      </c>
    </row>
    <row r="22" spans="1:8" s="1" customFormat="1" ht="66" customHeight="1" x14ac:dyDescent="0.3">
      <c r="A22" s="190" t="s">
        <v>30</v>
      </c>
      <c r="B22" s="190"/>
      <c r="C22" s="191" t="s">
        <v>29</v>
      </c>
      <c r="D22" s="232">
        <f>D23+D25+D30</f>
        <v>78899.100000000006</v>
      </c>
      <c r="E22" s="232">
        <f>E23+E25+E30</f>
        <v>78887.100000000006</v>
      </c>
      <c r="F22" s="232">
        <f>F23+F25+F30</f>
        <v>78710.157489999998</v>
      </c>
      <c r="G22" s="657">
        <f t="shared" si="0"/>
        <v>99.775701591261424</v>
      </c>
      <c r="H22" s="232">
        <f t="shared" si="1"/>
        <v>176.94251000000804</v>
      </c>
    </row>
    <row r="23" spans="1:8" s="1" customFormat="1" ht="40.200000000000003" x14ac:dyDescent="0.3">
      <c r="A23" s="7" t="s">
        <v>553</v>
      </c>
      <c r="B23" s="7"/>
      <c r="C23" s="6" t="s">
        <v>552</v>
      </c>
      <c r="D23" s="234">
        <f>D24</f>
        <v>2911.1</v>
      </c>
      <c r="E23" s="234">
        <f t="shared" ref="E23:F23" si="7">E24</f>
        <v>2911.1</v>
      </c>
      <c r="F23" s="234">
        <f t="shared" si="7"/>
        <v>2911.1</v>
      </c>
      <c r="G23" s="659">
        <f t="shared" si="0"/>
        <v>100</v>
      </c>
      <c r="H23" s="234">
        <f t="shared" si="1"/>
        <v>0</v>
      </c>
    </row>
    <row r="24" spans="1:8" s="1" customFormat="1" ht="66.599999999999994" x14ac:dyDescent="0.3">
      <c r="A24" s="7"/>
      <c r="B24" s="7" t="s">
        <v>2</v>
      </c>
      <c r="C24" s="6" t="s">
        <v>1</v>
      </c>
      <c r="D24" s="233">
        <f>2693+218.1</f>
        <v>2911.1</v>
      </c>
      <c r="E24" s="233">
        <f t="shared" ref="E24:F24" si="8">2693+218.1</f>
        <v>2911.1</v>
      </c>
      <c r="F24" s="233">
        <f t="shared" si="8"/>
        <v>2911.1</v>
      </c>
      <c r="G24" s="658">
        <f t="shared" si="0"/>
        <v>100</v>
      </c>
      <c r="H24" s="233">
        <f t="shared" si="1"/>
        <v>0</v>
      </c>
    </row>
    <row r="25" spans="1:8" s="1" customFormat="1" ht="40.200000000000003" x14ac:dyDescent="0.3">
      <c r="A25" s="7" t="s">
        <v>28</v>
      </c>
      <c r="B25" s="7"/>
      <c r="C25" s="6" t="s">
        <v>778</v>
      </c>
      <c r="D25" s="233">
        <f>D26+D27+D29</f>
        <v>67381.5</v>
      </c>
      <c r="E25" s="233">
        <f>E26+E27+E29+E28</f>
        <v>67369.5</v>
      </c>
      <c r="F25" s="233">
        <f>F26+F27+F29+F28</f>
        <v>67354.902729999987</v>
      </c>
      <c r="G25" s="658">
        <f t="shared" si="0"/>
        <v>99.978332524361889</v>
      </c>
      <c r="H25" s="233">
        <f t="shared" si="1"/>
        <v>14.597270000012941</v>
      </c>
    </row>
    <row r="26" spans="1:8" s="1" customFormat="1" ht="66.599999999999994" x14ac:dyDescent="0.3">
      <c r="A26" s="7"/>
      <c r="B26" s="7" t="s">
        <v>2</v>
      </c>
      <c r="C26" s="6" t="s">
        <v>1</v>
      </c>
      <c r="D26" s="233">
        <f>65053.6-3206.7-598.3+2682.8+157.2+27.9</f>
        <v>64116.5</v>
      </c>
      <c r="E26" s="233">
        <v>64257.711889999999</v>
      </c>
      <c r="F26" s="233">
        <v>64244.594019999997</v>
      </c>
      <c r="G26" s="658">
        <f t="shared" si="0"/>
        <v>99.979585532048731</v>
      </c>
      <c r="H26" s="233">
        <f t="shared" si="1"/>
        <v>13.117870000001858</v>
      </c>
    </row>
    <row r="27" spans="1:8" s="1" customFormat="1" ht="27" x14ac:dyDescent="0.3">
      <c r="A27" s="7"/>
      <c r="B27" s="7" t="s">
        <v>12</v>
      </c>
      <c r="C27" s="6" t="s">
        <v>11</v>
      </c>
      <c r="D27" s="233">
        <f>3206.7+33.2-33.2+8.3</f>
        <v>3215</v>
      </c>
      <c r="E27" s="233">
        <v>2860.3275800000001</v>
      </c>
      <c r="F27" s="233">
        <v>2858.84818</v>
      </c>
      <c r="G27" s="658">
        <f t="shared" si="0"/>
        <v>99.948278651356432</v>
      </c>
      <c r="H27" s="233">
        <f t="shared" si="1"/>
        <v>1.4794000000001688</v>
      </c>
    </row>
    <row r="28" spans="1:8" s="1" customFormat="1" ht="14.4" x14ac:dyDescent="0.3">
      <c r="A28" s="342"/>
      <c r="B28" s="342" t="s">
        <v>79</v>
      </c>
      <c r="C28" s="391" t="s">
        <v>78</v>
      </c>
      <c r="D28" s="676"/>
      <c r="E28" s="676">
        <v>186.46053000000001</v>
      </c>
      <c r="F28" s="676">
        <v>186.46053000000001</v>
      </c>
      <c r="G28" s="658">
        <f t="shared" ref="G28" si="9">F28/E28*100</f>
        <v>100</v>
      </c>
      <c r="H28" s="233">
        <f t="shared" ref="H28" si="10">E28-F28</f>
        <v>0</v>
      </c>
    </row>
    <row r="29" spans="1:8" s="1" customFormat="1" ht="14.4" x14ac:dyDescent="0.3">
      <c r="A29" s="326"/>
      <c r="B29" s="326" t="s">
        <v>22</v>
      </c>
      <c r="C29" s="330" t="s">
        <v>21</v>
      </c>
      <c r="D29" s="327">
        <v>50</v>
      </c>
      <c r="E29" s="327">
        <v>65</v>
      </c>
      <c r="F29" s="327">
        <v>65</v>
      </c>
      <c r="G29" s="660">
        <f t="shared" si="0"/>
        <v>100</v>
      </c>
      <c r="H29" s="327">
        <f t="shared" si="1"/>
        <v>0</v>
      </c>
    </row>
    <row r="30" spans="1:8" s="1" customFormat="1" ht="40.200000000000003" x14ac:dyDescent="0.3">
      <c r="A30" s="7" t="s">
        <v>274</v>
      </c>
      <c r="B30" s="7"/>
      <c r="C30" s="64" t="s">
        <v>273</v>
      </c>
      <c r="D30" s="233">
        <f>D31</f>
        <v>8606.5</v>
      </c>
      <c r="E30" s="233">
        <f t="shared" ref="E30:F30" si="11">E31</f>
        <v>8606.5</v>
      </c>
      <c r="F30" s="233">
        <f t="shared" si="11"/>
        <v>8444.1547599999994</v>
      </c>
      <c r="G30" s="658">
        <f t="shared" si="0"/>
        <v>98.113690350316617</v>
      </c>
      <c r="H30" s="233">
        <f t="shared" si="1"/>
        <v>162.34524000000056</v>
      </c>
    </row>
    <row r="31" spans="1:8" s="1" customFormat="1" ht="14.4" x14ac:dyDescent="0.3">
      <c r="A31" s="7"/>
      <c r="B31" s="7" t="s">
        <v>79</v>
      </c>
      <c r="C31" s="6" t="s">
        <v>78</v>
      </c>
      <c r="D31" s="233">
        <f>8660.1+6.6-60.2</f>
        <v>8606.5</v>
      </c>
      <c r="E31" s="233">
        <f t="shared" ref="E31" si="12">8660.1+6.6-60.2</f>
        <v>8606.5</v>
      </c>
      <c r="F31" s="233">
        <v>8444.1547599999994</v>
      </c>
      <c r="G31" s="658">
        <f t="shared" si="0"/>
        <v>98.113690350316617</v>
      </c>
      <c r="H31" s="233">
        <f t="shared" si="1"/>
        <v>162.34524000000056</v>
      </c>
    </row>
    <row r="32" spans="1:8" s="1" customFormat="1" ht="66.599999999999994" x14ac:dyDescent="0.3">
      <c r="A32" s="31" t="s">
        <v>499</v>
      </c>
      <c r="B32" s="31"/>
      <c r="C32" s="52" t="s">
        <v>521</v>
      </c>
      <c r="D32" s="231">
        <f>D33</f>
        <v>5543.8</v>
      </c>
      <c r="E32" s="231">
        <f t="shared" ref="E32:F32" si="13">E33</f>
        <v>5921.6</v>
      </c>
      <c r="F32" s="231">
        <f t="shared" si="13"/>
        <v>5921.599400000001</v>
      </c>
      <c r="G32" s="656">
        <f t="shared" si="0"/>
        <v>99.999989867603361</v>
      </c>
      <c r="H32" s="231">
        <f t="shared" si="1"/>
        <v>5.9999999939464033E-4</v>
      </c>
    </row>
    <row r="33" spans="1:8" s="1" customFormat="1" ht="40.200000000000003" x14ac:dyDescent="0.3">
      <c r="A33" s="190" t="s">
        <v>497</v>
      </c>
      <c r="B33" s="197"/>
      <c r="C33" s="191" t="s">
        <v>520</v>
      </c>
      <c r="D33" s="232">
        <f>D34+D37+D40+D42+D45+D48+D50+D52+D55</f>
        <v>5543.8</v>
      </c>
      <c r="E33" s="232">
        <f t="shared" ref="E33" si="14">E34+E37+E40+E42+E45+E48+E50+E52+E55</f>
        <v>5921.6</v>
      </c>
      <c r="F33" s="232">
        <f>F34+F37+F40+F42+F45+F48+F50+F52+F55</f>
        <v>5921.599400000001</v>
      </c>
      <c r="G33" s="657">
        <f t="shared" si="0"/>
        <v>99.999989867603361</v>
      </c>
      <c r="H33" s="232">
        <f t="shared" si="1"/>
        <v>5.9999999939464033E-4</v>
      </c>
    </row>
    <row r="34" spans="1:8" s="1" customFormat="1" ht="27" x14ac:dyDescent="0.3">
      <c r="A34" s="75" t="s">
        <v>549</v>
      </c>
      <c r="B34" s="7"/>
      <c r="C34" s="64" t="s">
        <v>548</v>
      </c>
      <c r="D34" s="233">
        <f>D35+D36</f>
        <v>1372.2</v>
      </c>
      <c r="E34" s="233">
        <f t="shared" ref="E34:F34" si="15">E35+E36</f>
        <v>1406.7</v>
      </c>
      <c r="F34" s="233">
        <f t="shared" si="15"/>
        <v>1406.7</v>
      </c>
      <c r="G34" s="658">
        <f t="shared" si="0"/>
        <v>100</v>
      </c>
      <c r="H34" s="233">
        <f t="shared" si="1"/>
        <v>0</v>
      </c>
    </row>
    <row r="35" spans="1:8" s="1" customFormat="1" ht="66.599999999999994" x14ac:dyDescent="0.3">
      <c r="A35" s="7"/>
      <c r="B35" s="7" t="s">
        <v>2</v>
      </c>
      <c r="C35" s="6" t="s">
        <v>1</v>
      </c>
      <c r="D35" s="233">
        <v>1196.7</v>
      </c>
      <c r="E35" s="233">
        <v>1304.3492100000001</v>
      </c>
      <c r="F35" s="233">
        <v>1304.3492100000001</v>
      </c>
      <c r="G35" s="658">
        <f t="shared" si="0"/>
        <v>100</v>
      </c>
      <c r="H35" s="233">
        <f t="shared" si="1"/>
        <v>0</v>
      </c>
    </row>
    <row r="36" spans="1:8" s="1" customFormat="1" ht="27" x14ac:dyDescent="0.3">
      <c r="A36" s="7"/>
      <c r="B36" s="7" t="s">
        <v>12</v>
      </c>
      <c r="C36" s="6" t="s">
        <v>11</v>
      </c>
      <c r="D36" s="233">
        <v>175.5</v>
      </c>
      <c r="E36" s="233">
        <v>102.35079</v>
      </c>
      <c r="F36" s="233">
        <v>102.35079</v>
      </c>
      <c r="G36" s="658">
        <f t="shared" si="0"/>
        <v>100</v>
      </c>
      <c r="H36" s="233">
        <f t="shared" si="1"/>
        <v>0</v>
      </c>
    </row>
    <row r="37" spans="1:8" s="1" customFormat="1" ht="40.200000000000003" x14ac:dyDescent="0.3">
      <c r="A37" s="7" t="s">
        <v>746</v>
      </c>
      <c r="B37" s="7"/>
      <c r="C37" s="64" t="s">
        <v>593</v>
      </c>
      <c r="D37" s="233">
        <f>D38+D39</f>
        <v>649.5</v>
      </c>
      <c r="E37" s="233">
        <f t="shared" ref="E37:F37" si="16">E38+E39</f>
        <v>665.40000000000009</v>
      </c>
      <c r="F37" s="233">
        <f t="shared" si="16"/>
        <v>665.40000000000009</v>
      </c>
      <c r="G37" s="658">
        <f t="shared" si="0"/>
        <v>100</v>
      </c>
      <c r="H37" s="233">
        <f t="shared" si="1"/>
        <v>0</v>
      </c>
    </row>
    <row r="38" spans="1:8" s="1" customFormat="1" ht="66.599999999999994" x14ac:dyDescent="0.3">
      <c r="A38" s="7"/>
      <c r="B38" s="7" t="s">
        <v>2</v>
      </c>
      <c r="C38" s="6" t="s">
        <v>1</v>
      </c>
      <c r="D38" s="233">
        <v>598.4</v>
      </c>
      <c r="E38" s="233">
        <v>637.08270000000005</v>
      </c>
      <c r="F38" s="233">
        <v>637.08270000000005</v>
      </c>
      <c r="G38" s="658">
        <f t="shared" si="0"/>
        <v>100</v>
      </c>
      <c r="H38" s="233">
        <f t="shared" si="1"/>
        <v>0</v>
      </c>
    </row>
    <row r="39" spans="1:8" s="1" customFormat="1" ht="27" x14ac:dyDescent="0.3">
      <c r="A39" s="7"/>
      <c r="B39" s="7" t="s">
        <v>12</v>
      </c>
      <c r="C39" s="6" t="s">
        <v>11</v>
      </c>
      <c r="D39" s="233">
        <v>51.1</v>
      </c>
      <c r="E39" s="233">
        <v>28.317299999999999</v>
      </c>
      <c r="F39" s="233">
        <v>28.317299999999999</v>
      </c>
      <c r="G39" s="658">
        <f t="shared" si="0"/>
        <v>100</v>
      </c>
      <c r="H39" s="233">
        <f t="shared" si="1"/>
        <v>0</v>
      </c>
    </row>
    <row r="40" spans="1:8" s="1" customFormat="1" ht="27" x14ac:dyDescent="0.3">
      <c r="A40" s="7" t="s">
        <v>546</v>
      </c>
      <c r="B40" s="7"/>
      <c r="C40" s="64" t="s">
        <v>545</v>
      </c>
      <c r="D40" s="233">
        <f>D41</f>
        <v>12.2</v>
      </c>
      <c r="E40" s="233">
        <f t="shared" ref="E40:F40" si="17">E41</f>
        <v>12.2</v>
      </c>
      <c r="F40" s="233">
        <f t="shared" si="17"/>
        <v>12.2</v>
      </c>
      <c r="G40" s="658">
        <f t="shared" si="0"/>
        <v>100</v>
      </c>
      <c r="H40" s="233">
        <f t="shared" si="1"/>
        <v>0</v>
      </c>
    </row>
    <row r="41" spans="1:8" s="1" customFormat="1" ht="27" x14ac:dyDescent="0.3">
      <c r="A41" s="7"/>
      <c r="B41" s="7" t="s">
        <v>12</v>
      </c>
      <c r="C41" s="6" t="s">
        <v>11</v>
      </c>
      <c r="D41" s="233">
        <v>12.2</v>
      </c>
      <c r="E41" s="233">
        <v>12.2</v>
      </c>
      <c r="F41" s="233">
        <v>12.2</v>
      </c>
      <c r="G41" s="658">
        <f t="shared" si="0"/>
        <v>100</v>
      </c>
      <c r="H41" s="233">
        <f t="shared" si="1"/>
        <v>0</v>
      </c>
    </row>
    <row r="42" spans="1:8" s="1" customFormat="1" ht="40.200000000000003" x14ac:dyDescent="0.3">
      <c r="A42" s="7" t="s">
        <v>544</v>
      </c>
      <c r="B42" s="7"/>
      <c r="C42" s="6" t="s">
        <v>543</v>
      </c>
      <c r="D42" s="233">
        <f>D43+D44</f>
        <v>73.599999999999994</v>
      </c>
      <c r="E42" s="233">
        <f t="shared" ref="E42:F42" si="18">E43+E44</f>
        <v>75.5</v>
      </c>
      <c r="F42" s="233">
        <f t="shared" si="18"/>
        <v>75.499400000000009</v>
      </c>
      <c r="G42" s="658">
        <f t="shared" si="0"/>
        <v>99.999205298013266</v>
      </c>
      <c r="H42" s="233">
        <f t="shared" si="1"/>
        <v>5.9999999999149622E-4</v>
      </c>
    </row>
    <row r="43" spans="1:8" s="1" customFormat="1" ht="66.599999999999994" x14ac:dyDescent="0.3">
      <c r="A43" s="7"/>
      <c r="B43" s="7" t="s">
        <v>2</v>
      </c>
      <c r="C43" s="6" t="s">
        <v>1</v>
      </c>
      <c r="D43" s="233">
        <v>59.8</v>
      </c>
      <c r="E43" s="233">
        <v>61.7</v>
      </c>
      <c r="F43" s="233">
        <v>61.7</v>
      </c>
      <c r="G43" s="658">
        <f t="shared" si="0"/>
        <v>100</v>
      </c>
      <c r="H43" s="233">
        <f t="shared" si="1"/>
        <v>0</v>
      </c>
    </row>
    <row r="44" spans="1:8" s="1" customFormat="1" ht="27" x14ac:dyDescent="0.3">
      <c r="A44" s="7"/>
      <c r="B44" s="7" t="s">
        <v>12</v>
      </c>
      <c r="C44" s="6" t="s">
        <v>11</v>
      </c>
      <c r="D44" s="233">
        <v>13.8</v>
      </c>
      <c r="E44" s="233">
        <v>13.8</v>
      </c>
      <c r="F44" s="233">
        <v>13.7994</v>
      </c>
      <c r="G44" s="658">
        <f t="shared" si="0"/>
        <v>99.995652173913044</v>
      </c>
      <c r="H44" s="233">
        <f t="shared" si="1"/>
        <v>6.0000000000037801E-4</v>
      </c>
    </row>
    <row r="45" spans="1:8" s="1" customFormat="1" ht="40.200000000000003" x14ac:dyDescent="0.3">
      <c r="A45" s="7" t="s">
        <v>542</v>
      </c>
      <c r="B45" s="7"/>
      <c r="C45" s="12" t="s">
        <v>541</v>
      </c>
      <c r="D45" s="233">
        <f>D46+D47</f>
        <v>453.3</v>
      </c>
      <c r="E45" s="233">
        <f t="shared" ref="E45:F45" si="19">E46+E47</f>
        <v>465.2</v>
      </c>
      <c r="F45" s="233">
        <f t="shared" si="19"/>
        <v>465.2</v>
      </c>
      <c r="G45" s="658">
        <f t="shared" si="0"/>
        <v>100</v>
      </c>
      <c r="H45" s="233">
        <f t="shared" si="1"/>
        <v>0</v>
      </c>
    </row>
    <row r="46" spans="1:8" s="1" customFormat="1" ht="66.599999999999994" x14ac:dyDescent="0.3">
      <c r="A46" s="7"/>
      <c r="B46" s="7" t="s">
        <v>2</v>
      </c>
      <c r="C46" s="6" t="s">
        <v>1</v>
      </c>
      <c r="D46" s="233">
        <v>404.8</v>
      </c>
      <c r="E46" s="233">
        <v>419.66300000000001</v>
      </c>
      <c r="F46" s="233">
        <v>419.66300000000001</v>
      </c>
      <c r="G46" s="658">
        <f t="shared" si="0"/>
        <v>100</v>
      </c>
      <c r="H46" s="233">
        <f t="shared" si="1"/>
        <v>0</v>
      </c>
    </row>
    <row r="47" spans="1:8" s="1" customFormat="1" ht="27" x14ac:dyDescent="0.3">
      <c r="A47" s="7"/>
      <c r="B47" s="7" t="s">
        <v>12</v>
      </c>
      <c r="C47" s="6" t="s">
        <v>11</v>
      </c>
      <c r="D47" s="233">
        <v>48.5</v>
      </c>
      <c r="E47" s="233">
        <v>45.536999999999999</v>
      </c>
      <c r="F47" s="233">
        <v>45.536999999999999</v>
      </c>
      <c r="G47" s="658">
        <f t="shared" si="0"/>
        <v>100</v>
      </c>
      <c r="H47" s="233">
        <f t="shared" si="1"/>
        <v>0</v>
      </c>
    </row>
    <row r="48" spans="1:8" s="1" customFormat="1" ht="66.599999999999994" x14ac:dyDescent="0.3">
      <c r="A48" s="7" t="s">
        <v>540</v>
      </c>
      <c r="B48" s="7"/>
      <c r="C48" s="64" t="s">
        <v>539</v>
      </c>
      <c r="D48" s="233">
        <f>D49</f>
        <v>16.2</v>
      </c>
      <c r="E48" s="233">
        <f t="shared" ref="E48:F48" si="20">E49</f>
        <v>16.600000000000001</v>
      </c>
      <c r="F48" s="233">
        <f t="shared" si="20"/>
        <v>16.600000000000001</v>
      </c>
      <c r="G48" s="658">
        <f t="shared" si="0"/>
        <v>100</v>
      </c>
      <c r="H48" s="233">
        <f t="shared" si="1"/>
        <v>0</v>
      </c>
    </row>
    <row r="49" spans="1:8" s="1" customFormat="1" ht="27" x14ac:dyDescent="0.3">
      <c r="A49" s="7"/>
      <c r="B49" s="7" t="s">
        <v>12</v>
      </c>
      <c r="C49" s="6" t="s">
        <v>11</v>
      </c>
      <c r="D49" s="233">
        <v>16.2</v>
      </c>
      <c r="E49" s="233">
        <v>16.600000000000001</v>
      </c>
      <c r="F49" s="233">
        <v>16.600000000000001</v>
      </c>
      <c r="G49" s="658">
        <f t="shared" si="0"/>
        <v>100</v>
      </c>
      <c r="H49" s="233">
        <f t="shared" si="1"/>
        <v>0</v>
      </c>
    </row>
    <row r="50" spans="1:8" s="1" customFormat="1" ht="53.4" x14ac:dyDescent="0.3">
      <c r="A50" s="7" t="s">
        <v>530</v>
      </c>
      <c r="B50" s="7"/>
      <c r="C50" s="6" t="s">
        <v>529</v>
      </c>
      <c r="D50" s="233">
        <f>D51</f>
        <v>2.2999999999999998</v>
      </c>
      <c r="E50" s="233">
        <f t="shared" ref="E50:F50" si="21">E51</f>
        <v>2.2999999999999998</v>
      </c>
      <c r="F50" s="233">
        <f t="shared" si="21"/>
        <v>2.2999999999999998</v>
      </c>
      <c r="G50" s="658">
        <f t="shared" si="0"/>
        <v>100</v>
      </c>
      <c r="H50" s="233">
        <f t="shared" si="1"/>
        <v>0</v>
      </c>
    </row>
    <row r="51" spans="1:8" s="1" customFormat="1" ht="27" x14ac:dyDescent="0.3">
      <c r="A51" s="7"/>
      <c r="B51" s="7" t="s">
        <v>12</v>
      </c>
      <c r="C51" s="6" t="s">
        <v>11</v>
      </c>
      <c r="D51" s="233">
        <v>2.2999999999999998</v>
      </c>
      <c r="E51" s="233">
        <v>2.2999999999999998</v>
      </c>
      <c r="F51" s="233">
        <v>2.2999999999999998</v>
      </c>
      <c r="G51" s="658">
        <f t="shared" si="0"/>
        <v>100</v>
      </c>
      <c r="H51" s="233">
        <f t="shared" si="1"/>
        <v>0</v>
      </c>
    </row>
    <row r="52" spans="1:8" s="1" customFormat="1" ht="27" x14ac:dyDescent="0.3">
      <c r="A52" s="7" t="s">
        <v>519</v>
      </c>
      <c r="B52" s="7"/>
      <c r="C52" s="6" t="s">
        <v>518</v>
      </c>
      <c r="D52" s="233">
        <f>D53+D54</f>
        <v>1159.2</v>
      </c>
      <c r="E52" s="233">
        <f t="shared" ref="E52:F52" si="22">E53+E54</f>
        <v>1381.8</v>
      </c>
      <c r="F52" s="233">
        <f t="shared" si="22"/>
        <v>1381.8</v>
      </c>
      <c r="G52" s="658">
        <f t="shared" si="0"/>
        <v>100</v>
      </c>
      <c r="H52" s="233">
        <f t="shared" si="1"/>
        <v>0</v>
      </c>
    </row>
    <row r="53" spans="1:8" s="1" customFormat="1" ht="66.599999999999994" x14ac:dyDescent="0.3">
      <c r="A53" s="7"/>
      <c r="B53" s="7" t="s">
        <v>2</v>
      </c>
      <c r="C53" s="6" t="s">
        <v>1</v>
      </c>
      <c r="D53" s="233">
        <v>1145.8</v>
      </c>
      <c r="E53" s="233">
        <v>1319.827</v>
      </c>
      <c r="F53" s="233">
        <v>1319.827</v>
      </c>
      <c r="G53" s="658">
        <f t="shared" si="0"/>
        <v>100</v>
      </c>
      <c r="H53" s="233">
        <f t="shared" si="1"/>
        <v>0</v>
      </c>
    </row>
    <row r="54" spans="1:8" s="1" customFormat="1" ht="27" x14ac:dyDescent="0.3">
      <c r="A54" s="7"/>
      <c r="B54" s="7" t="s">
        <v>12</v>
      </c>
      <c r="C54" s="6" t="s">
        <v>11</v>
      </c>
      <c r="D54" s="233">
        <v>13.4000000000001</v>
      </c>
      <c r="E54" s="233">
        <v>61.972999999999999</v>
      </c>
      <c r="F54" s="233">
        <v>61.972999999999999</v>
      </c>
      <c r="G54" s="658">
        <f t="shared" si="0"/>
        <v>100</v>
      </c>
      <c r="H54" s="233">
        <f t="shared" si="1"/>
        <v>0</v>
      </c>
    </row>
    <row r="55" spans="1:8" s="1" customFormat="1" ht="40.200000000000003" x14ac:dyDescent="0.3">
      <c r="A55" s="7" t="s">
        <v>495</v>
      </c>
      <c r="B55" s="7"/>
      <c r="C55" s="12" t="s">
        <v>822</v>
      </c>
      <c r="D55" s="233">
        <f>D56+D57</f>
        <v>1805.3</v>
      </c>
      <c r="E55" s="233">
        <f t="shared" ref="E55:F55" si="23">E56+E57</f>
        <v>1895.9</v>
      </c>
      <c r="F55" s="233">
        <f t="shared" si="23"/>
        <v>1895.9</v>
      </c>
      <c r="G55" s="658">
        <f t="shared" si="0"/>
        <v>100</v>
      </c>
      <c r="H55" s="233">
        <f t="shared" si="1"/>
        <v>0</v>
      </c>
    </row>
    <row r="56" spans="1:8" s="1" customFormat="1" ht="66.599999999999994" x14ac:dyDescent="0.3">
      <c r="A56" s="7"/>
      <c r="B56" s="7" t="s">
        <v>2</v>
      </c>
      <c r="C56" s="6" t="s">
        <v>1</v>
      </c>
      <c r="D56" s="233">
        <v>1719.8</v>
      </c>
      <c r="E56" s="233">
        <v>1797.7</v>
      </c>
      <c r="F56" s="233">
        <v>1797.7</v>
      </c>
      <c r="G56" s="658">
        <f t="shared" si="0"/>
        <v>100</v>
      </c>
      <c r="H56" s="233">
        <f t="shared" si="1"/>
        <v>0</v>
      </c>
    </row>
    <row r="57" spans="1:8" s="1" customFormat="1" ht="27" x14ac:dyDescent="0.3">
      <c r="A57" s="7"/>
      <c r="B57" s="7" t="s">
        <v>12</v>
      </c>
      <c r="C57" s="6" t="s">
        <v>11</v>
      </c>
      <c r="D57" s="233">
        <f>131.1-45.6</f>
        <v>85.5</v>
      </c>
      <c r="E57" s="233">
        <v>98.2</v>
      </c>
      <c r="F57" s="233">
        <v>98.2</v>
      </c>
      <c r="G57" s="658">
        <f t="shared" si="0"/>
        <v>100</v>
      </c>
      <c r="H57" s="233">
        <f t="shared" si="1"/>
        <v>0</v>
      </c>
    </row>
    <row r="58" spans="1:8" s="1" customFormat="1" ht="40.200000000000003" x14ac:dyDescent="0.3">
      <c r="A58" s="31" t="s">
        <v>517</v>
      </c>
      <c r="B58" s="31"/>
      <c r="C58" s="52" t="s">
        <v>516</v>
      </c>
      <c r="D58" s="231">
        <f>D59</f>
        <v>252</v>
      </c>
      <c r="E58" s="231">
        <f t="shared" ref="E58:F58" si="24">E59</f>
        <v>252</v>
      </c>
      <c r="F58" s="231">
        <f t="shared" si="24"/>
        <v>252</v>
      </c>
      <c r="G58" s="656">
        <f t="shared" si="0"/>
        <v>100</v>
      </c>
      <c r="H58" s="231">
        <f t="shared" si="1"/>
        <v>0</v>
      </c>
    </row>
    <row r="59" spans="1:8" s="1" customFormat="1" ht="79.8" x14ac:dyDescent="0.3">
      <c r="A59" s="190" t="s">
        <v>515</v>
      </c>
      <c r="B59" s="197"/>
      <c r="C59" s="191" t="s">
        <v>594</v>
      </c>
      <c r="D59" s="232">
        <f>D60+D62</f>
        <v>252</v>
      </c>
      <c r="E59" s="232">
        <f t="shared" ref="E59:F59" si="25">E60+E62</f>
        <v>252</v>
      </c>
      <c r="F59" s="232">
        <f t="shared" si="25"/>
        <v>252</v>
      </c>
      <c r="G59" s="657">
        <f t="shared" si="0"/>
        <v>100</v>
      </c>
      <c r="H59" s="232">
        <f t="shared" si="1"/>
        <v>0</v>
      </c>
    </row>
    <row r="60" spans="1:8" s="1" customFormat="1" ht="14.4" x14ac:dyDescent="0.3">
      <c r="A60" s="7" t="s">
        <v>513</v>
      </c>
      <c r="B60" s="7"/>
      <c r="C60" s="64" t="s">
        <v>512</v>
      </c>
      <c r="D60" s="233">
        <f>D61</f>
        <v>133.30000000000001</v>
      </c>
      <c r="E60" s="233">
        <f t="shared" ref="E60:F60" si="26">E61</f>
        <v>133.30000000000001</v>
      </c>
      <c r="F60" s="233">
        <f t="shared" si="26"/>
        <v>133.30000000000001</v>
      </c>
      <c r="G60" s="658">
        <f t="shared" si="0"/>
        <v>100</v>
      </c>
      <c r="H60" s="233">
        <f t="shared" si="1"/>
        <v>0</v>
      </c>
    </row>
    <row r="61" spans="1:8" s="1" customFormat="1" ht="27" x14ac:dyDescent="0.3">
      <c r="A61" s="7"/>
      <c r="B61" s="7" t="s">
        <v>12</v>
      </c>
      <c r="C61" s="6" t="s">
        <v>11</v>
      </c>
      <c r="D61" s="235">
        <f>133.3</f>
        <v>133.30000000000001</v>
      </c>
      <c r="E61" s="235">
        <f t="shared" ref="E61:F61" si="27">133.3</f>
        <v>133.30000000000001</v>
      </c>
      <c r="F61" s="235">
        <f t="shared" si="27"/>
        <v>133.30000000000001</v>
      </c>
      <c r="G61" s="661">
        <f t="shared" si="0"/>
        <v>100</v>
      </c>
      <c r="H61" s="235">
        <f t="shared" si="1"/>
        <v>0</v>
      </c>
    </row>
    <row r="62" spans="1:8" s="1" customFormat="1" ht="53.4" x14ac:dyDescent="0.3">
      <c r="A62" s="7" t="s">
        <v>511</v>
      </c>
      <c r="B62" s="7"/>
      <c r="C62" s="64" t="s">
        <v>592</v>
      </c>
      <c r="D62" s="233">
        <f>D63</f>
        <v>118.7</v>
      </c>
      <c r="E62" s="233">
        <f t="shared" ref="E62:F62" si="28">E63</f>
        <v>118.7</v>
      </c>
      <c r="F62" s="233">
        <f t="shared" si="28"/>
        <v>118.7</v>
      </c>
      <c r="G62" s="658">
        <f t="shared" si="0"/>
        <v>100</v>
      </c>
      <c r="H62" s="233">
        <f t="shared" si="1"/>
        <v>0</v>
      </c>
    </row>
    <row r="63" spans="1:8" s="1" customFormat="1" ht="27" x14ac:dyDescent="0.3">
      <c r="A63" s="7"/>
      <c r="B63" s="7" t="s">
        <v>12</v>
      </c>
      <c r="C63" s="6" t="s">
        <v>11</v>
      </c>
      <c r="D63" s="233">
        <f>34.7+84</f>
        <v>118.7</v>
      </c>
      <c r="E63" s="233">
        <f t="shared" ref="E63:F63" si="29">34.7+84</f>
        <v>118.7</v>
      </c>
      <c r="F63" s="233">
        <f t="shared" si="29"/>
        <v>118.7</v>
      </c>
      <c r="G63" s="658">
        <f t="shared" si="0"/>
        <v>100</v>
      </c>
      <c r="H63" s="233">
        <f t="shared" si="1"/>
        <v>0</v>
      </c>
    </row>
    <row r="64" spans="1:8" ht="39.6" x14ac:dyDescent="0.25">
      <c r="A64" s="206" t="s">
        <v>87</v>
      </c>
      <c r="B64" s="206"/>
      <c r="C64" s="208" t="s">
        <v>215</v>
      </c>
      <c r="D64" s="230">
        <f>D65+D82+D127+D143+D154+D167+D186</f>
        <v>587590.76407000003</v>
      </c>
      <c r="E64" s="230">
        <f>E65+E82+E127+E143+E154+E167+E186+E190</f>
        <v>676024.19055000006</v>
      </c>
      <c r="F64" s="230">
        <f>F65+F82+F127+F143+F154+F167+F186+F190</f>
        <v>673276.19071000011</v>
      </c>
      <c r="G64" s="655">
        <f t="shared" si="0"/>
        <v>99.59350569426158</v>
      </c>
      <c r="H64" s="230">
        <f t="shared" si="1"/>
        <v>2747.9998399999458</v>
      </c>
    </row>
    <row r="65" spans="1:8" x14ac:dyDescent="0.25">
      <c r="A65" s="31" t="s">
        <v>165</v>
      </c>
      <c r="B65" s="31"/>
      <c r="C65" s="137" t="s">
        <v>164</v>
      </c>
      <c r="D65" s="231">
        <f t="shared" ref="D65:F65" si="30">D66</f>
        <v>124711.6394</v>
      </c>
      <c r="E65" s="231">
        <f t="shared" si="30"/>
        <v>137156.96367</v>
      </c>
      <c r="F65" s="231">
        <f t="shared" si="30"/>
        <v>136459.26366999999</v>
      </c>
      <c r="G65" s="656">
        <f t="shared" si="0"/>
        <v>99.491312740285892</v>
      </c>
      <c r="H65" s="231">
        <f t="shared" si="1"/>
        <v>697.70000000001164</v>
      </c>
    </row>
    <row r="66" spans="1:8" ht="52.8" x14ac:dyDescent="0.25">
      <c r="A66" s="190" t="s">
        <v>163</v>
      </c>
      <c r="B66" s="190"/>
      <c r="C66" s="200" t="s">
        <v>181</v>
      </c>
      <c r="D66" s="232">
        <f>D67+D69+D72+D74+D76+D78</f>
        <v>124711.6394</v>
      </c>
      <c r="E66" s="232">
        <f t="shared" ref="E66:F66" si="31">E67+E69+E72+E74+E76+E78</f>
        <v>137156.96367</v>
      </c>
      <c r="F66" s="232">
        <f t="shared" si="31"/>
        <v>136459.26366999999</v>
      </c>
      <c r="G66" s="657">
        <f t="shared" si="0"/>
        <v>99.491312740285892</v>
      </c>
      <c r="H66" s="232">
        <f t="shared" si="1"/>
        <v>697.70000000001164</v>
      </c>
    </row>
    <row r="67" spans="1:8" ht="39.6" x14ac:dyDescent="0.25">
      <c r="A67" s="7" t="s">
        <v>247</v>
      </c>
      <c r="B67" s="61"/>
      <c r="C67" s="138" t="s">
        <v>246</v>
      </c>
      <c r="D67" s="233">
        <f>D68</f>
        <v>24570</v>
      </c>
      <c r="E67" s="233">
        <f t="shared" ref="E67:F67" si="32">E68</f>
        <v>24570</v>
      </c>
      <c r="F67" s="233">
        <f t="shared" si="32"/>
        <v>24570</v>
      </c>
      <c r="G67" s="658">
        <f t="shared" si="0"/>
        <v>100</v>
      </c>
      <c r="H67" s="233">
        <f t="shared" si="1"/>
        <v>0</v>
      </c>
    </row>
    <row r="68" spans="1:8" ht="26.4" x14ac:dyDescent="0.25">
      <c r="A68" s="7"/>
      <c r="B68" s="7" t="s">
        <v>57</v>
      </c>
      <c r="C68" s="138" t="s">
        <v>56</v>
      </c>
      <c r="D68" s="233">
        <v>24570</v>
      </c>
      <c r="E68" s="233">
        <v>24570</v>
      </c>
      <c r="F68" s="233">
        <v>24570</v>
      </c>
      <c r="G68" s="658">
        <f t="shared" si="0"/>
        <v>100</v>
      </c>
      <c r="H68" s="233">
        <f t="shared" si="1"/>
        <v>0</v>
      </c>
    </row>
    <row r="69" spans="1:8" ht="52.8" x14ac:dyDescent="0.25">
      <c r="A69" s="7" t="s">
        <v>245</v>
      </c>
      <c r="B69" s="7"/>
      <c r="C69" s="138" t="s">
        <v>244</v>
      </c>
      <c r="D69" s="233">
        <f>D70+D71</f>
        <v>93455.039399999994</v>
      </c>
      <c r="E69" s="233">
        <f t="shared" ref="E69:F69" si="33">E70+E71</f>
        <v>105870.51667</v>
      </c>
      <c r="F69" s="233">
        <f t="shared" si="33"/>
        <v>105870.51667</v>
      </c>
      <c r="G69" s="658">
        <f t="shared" si="0"/>
        <v>100</v>
      </c>
      <c r="H69" s="233">
        <f t="shared" si="1"/>
        <v>0</v>
      </c>
    </row>
    <row r="70" spans="1:8" x14ac:dyDescent="0.25">
      <c r="A70" s="7"/>
      <c r="B70" s="7" t="s">
        <v>79</v>
      </c>
      <c r="C70" s="138" t="s">
        <v>78</v>
      </c>
      <c r="D70" s="233">
        <v>23.352499999999999</v>
      </c>
      <c r="E70" s="233">
        <v>23.352499999999999</v>
      </c>
      <c r="F70" s="233">
        <v>23.352499999999999</v>
      </c>
      <c r="G70" s="658">
        <f t="shared" si="0"/>
        <v>100</v>
      </c>
      <c r="H70" s="233">
        <f t="shared" si="1"/>
        <v>0</v>
      </c>
    </row>
    <row r="71" spans="1:8" ht="26.4" x14ac:dyDescent="0.25">
      <c r="A71" s="7"/>
      <c r="B71" s="7" t="s">
        <v>57</v>
      </c>
      <c r="C71" s="138" t="s">
        <v>56</v>
      </c>
      <c r="D71" s="233">
        <v>93431.686900000001</v>
      </c>
      <c r="E71" s="233">
        <v>105847.16417</v>
      </c>
      <c r="F71" s="233">
        <v>105847.16417</v>
      </c>
      <c r="G71" s="658">
        <f t="shared" si="0"/>
        <v>100</v>
      </c>
      <c r="H71" s="233">
        <f t="shared" si="1"/>
        <v>0</v>
      </c>
    </row>
    <row r="72" spans="1:8" ht="66" x14ac:dyDescent="0.25">
      <c r="A72" s="7" t="s">
        <v>161</v>
      </c>
      <c r="B72" s="7"/>
      <c r="C72" s="138" t="s">
        <v>9</v>
      </c>
      <c r="D72" s="233">
        <f>D73</f>
        <v>4574.3</v>
      </c>
      <c r="E72" s="233">
        <f t="shared" ref="E72:F72" si="34">E73</f>
        <v>4574.3</v>
      </c>
      <c r="F72" s="233">
        <f t="shared" si="34"/>
        <v>3876.6</v>
      </c>
      <c r="G72" s="658">
        <f t="shared" si="0"/>
        <v>84.747393043744395</v>
      </c>
      <c r="H72" s="233">
        <f t="shared" si="1"/>
        <v>697.70000000000027</v>
      </c>
    </row>
    <row r="73" spans="1:8" ht="26.4" x14ac:dyDescent="0.25">
      <c r="A73" s="7"/>
      <c r="B73" s="7" t="s">
        <v>57</v>
      </c>
      <c r="C73" s="138" t="s">
        <v>56</v>
      </c>
      <c r="D73" s="233">
        <v>4574.3</v>
      </c>
      <c r="E73" s="233">
        <v>4574.3</v>
      </c>
      <c r="F73" s="233">
        <v>3876.6</v>
      </c>
      <c r="G73" s="658">
        <f t="shared" si="0"/>
        <v>84.747393043744395</v>
      </c>
      <c r="H73" s="233">
        <f t="shared" si="1"/>
        <v>697.70000000000027</v>
      </c>
    </row>
    <row r="74" spans="1:8" ht="26.4" x14ac:dyDescent="0.25">
      <c r="A74" s="7" t="s">
        <v>243</v>
      </c>
      <c r="B74" s="7"/>
      <c r="C74" s="138" t="s">
        <v>242</v>
      </c>
      <c r="D74" s="233">
        <f>D75</f>
        <v>924.1</v>
      </c>
      <c r="E74" s="233">
        <f t="shared" ref="E74:F74" si="35">E75</f>
        <v>924.1</v>
      </c>
      <c r="F74" s="233">
        <f t="shared" si="35"/>
        <v>924.1</v>
      </c>
      <c r="G74" s="658">
        <f t="shared" si="0"/>
        <v>100</v>
      </c>
      <c r="H74" s="233">
        <f t="shared" si="1"/>
        <v>0</v>
      </c>
    </row>
    <row r="75" spans="1:8" ht="26.4" x14ac:dyDescent="0.25">
      <c r="A75" s="7"/>
      <c r="B75" s="7" t="s">
        <v>57</v>
      </c>
      <c r="C75" s="138" t="s">
        <v>56</v>
      </c>
      <c r="D75" s="233">
        <v>924.1</v>
      </c>
      <c r="E75" s="233">
        <v>924.1</v>
      </c>
      <c r="F75" s="233">
        <v>924.1</v>
      </c>
      <c r="G75" s="658">
        <f t="shared" si="0"/>
        <v>100</v>
      </c>
      <c r="H75" s="233">
        <f t="shared" si="1"/>
        <v>0</v>
      </c>
    </row>
    <row r="76" spans="1:8" ht="39.6" x14ac:dyDescent="0.25">
      <c r="A76" s="55" t="s">
        <v>180</v>
      </c>
      <c r="B76" s="7"/>
      <c r="C76" s="138" t="s">
        <v>695</v>
      </c>
      <c r="D76" s="233">
        <f>D77</f>
        <v>138.19999999999999</v>
      </c>
      <c r="E76" s="233">
        <f t="shared" ref="E76:F76" si="36">E77</f>
        <v>168.047</v>
      </c>
      <c r="F76" s="233">
        <f t="shared" si="36"/>
        <v>168.047</v>
      </c>
      <c r="G76" s="658">
        <f t="shared" si="0"/>
        <v>100</v>
      </c>
      <c r="H76" s="233">
        <f t="shared" si="1"/>
        <v>0</v>
      </c>
    </row>
    <row r="77" spans="1:8" ht="26.4" x14ac:dyDescent="0.25">
      <c r="A77" s="55"/>
      <c r="B77" s="7" t="s">
        <v>57</v>
      </c>
      <c r="C77" s="138" t="s">
        <v>56</v>
      </c>
      <c r="D77" s="233">
        <v>138.19999999999999</v>
      </c>
      <c r="E77" s="233">
        <v>168.047</v>
      </c>
      <c r="F77" s="233">
        <v>168.047</v>
      </c>
      <c r="G77" s="658">
        <f t="shared" si="0"/>
        <v>100</v>
      </c>
      <c r="H77" s="233">
        <f t="shared" si="1"/>
        <v>0</v>
      </c>
    </row>
    <row r="78" spans="1:8" ht="39.6" x14ac:dyDescent="0.25">
      <c r="A78" s="7" t="s">
        <v>750</v>
      </c>
      <c r="B78" s="7"/>
      <c r="C78" s="138" t="s">
        <v>595</v>
      </c>
      <c r="D78" s="233">
        <f>D79</f>
        <v>1050</v>
      </c>
      <c r="E78" s="233">
        <f t="shared" ref="E78:F78" si="37">E79</f>
        <v>1050</v>
      </c>
      <c r="F78" s="233">
        <f t="shared" si="37"/>
        <v>1050</v>
      </c>
      <c r="G78" s="658">
        <f t="shared" si="0"/>
        <v>100</v>
      </c>
      <c r="H78" s="233">
        <f t="shared" si="1"/>
        <v>0</v>
      </c>
    </row>
    <row r="79" spans="1:8" ht="26.4" x14ac:dyDescent="0.25">
      <c r="A79" s="7"/>
      <c r="B79" s="7" t="s">
        <v>57</v>
      </c>
      <c r="C79" s="138" t="s">
        <v>56</v>
      </c>
      <c r="D79" s="233">
        <f>D80+D81</f>
        <v>1050</v>
      </c>
      <c r="E79" s="233">
        <f t="shared" ref="E79:F79" si="38">E80+E81</f>
        <v>1050</v>
      </c>
      <c r="F79" s="233">
        <f t="shared" si="38"/>
        <v>1050</v>
      </c>
      <c r="G79" s="658">
        <f t="shared" ref="G79:G155" si="39">F79/E79*100</f>
        <v>100</v>
      </c>
      <c r="H79" s="233">
        <f t="shared" ref="H79:H155" si="40">E79-F79</f>
        <v>0</v>
      </c>
    </row>
    <row r="80" spans="1:8" x14ac:dyDescent="0.25">
      <c r="A80" s="7"/>
      <c r="B80" s="7"/>
      <c r="C80" s="138" t="s">
        <v>157</v>
      </c>
      <c r="D80" s="233">
        <v>1050</v>
      </c>
      <c r="E80" s="233">
        <v>1050</v>
      </c>
      <c r="F80" s="233">
        <v>1050</v>
      </c>
      <c r="G80" s="658">
        <f t="shared" si="39"/>
        <v>100</v>
      </c>
      <c r="H80" s="233">
        <f t="shared" si="40"/>
        <v>0</v>
      </c>
    </row>
    <row r="81" spans="1:8" x14ac:dyDescent="0.25">
      <c r="A81" s="7"/>
      <c r="B81" s="7"/>
      <c r="C81" s="138" t="s">
        <v>156</v>
      </c>
      <c r="D81" s="236">
        <v>0</v>
      </c>
      <c r="E81" s="236">
        <v>0</v>
      </c>
      <c r="F81" s="236">
        <v>0</v>
      </c>
      <c r="G81" s="662" t="e">
        <f t="shared" si="39"/>
        <v>#DIV/0!</v>
      </c>
      <c r="H81" s="236">
        <f t="shared" si="40"/>
        <v>0</v>
      </c>
    </row>
    <row r="82" spans="1:8" ht="26.4" x14ac:dyDescent="0.25">
      <c r="A82" s="31" t="s">
        <v>179</v>
      </c>
      <c r="B82" s="31"/>
      <c r="C82" s="137" t="s">
        <v>178</v>
      </c>
      <c r="D82" s="231">
        <f>D83+D94+D113+D120</f>
        <v>304452.038</v>
      </c>
      <c r="E82" s="231">
        <f>E83+E94+E113+E120</f>
        <v>377869.88297999999</v>
      </c>
      <c r="F82" s="231">
        <f>F83+F94+F113+F120</f>
        <v>377230.69334</v>
      </c>
      <c r="G82" s="656">
        <f t="shared" si="39"/>
        <v>99.830843983923998</v>
      </c>
      <c r="H82" s="231">
        <f t="shared" si="40"/>
        <v>639.18963999999687</v>
      </c>
    </row>
    <row r="83" spans="1:8" ht="52.8" x14ac:dyDescent="0.25">
      <c r="A83" s="190" t="s">
        <v>239</v>
      </c>
      <c r="B83" s="190"/>
      <c r="C83" s="200" t="s">
        <v>162</v>
      </c>
      <c r="D83" s="232">
        <f>D84+D86+D88</f>
        <v>262870.5246</v>
      </c>
      <c r="E83" s="232">
        <f>E84+E86+E88+E92</f>
        <v>323649.03867999994</v>
      </c>
      <c r="F83" s="232">
        <f>F84+F86+F88+F92</f>
        <v>323608.61367999995</v>
      </c>
      <c r="G83" s="657">
        <f t="shared" si="39"/>
        <v>99.987509618392551</v>
      </c>
      <c r="H83" s="232">
        <f t="shared" si="40"/>
        <v>40.424999999988358</v>
      </c>
    </row>
    <row r="84" spans="1:8" ht="39.6" x14ac:dyDescent="0.25">
      <c r="A84" s="7" t="s">
        <v>238</v>
      </c>
      <c r="B84" s="61"/>
      <c r="C84" s="138" t="s">
        <v>237</v>
      </c>
      <c r="D84" s="233">
        <f>D85</f>
        <v>34749.1</v>
      </c>
      <c r="E84" s="233">
        <f t="shared" ref="E84:F84" si="41">E85</f>
        <v>34749.1</v>
      </c>
      <c r="F84" s="233">
        <f t="shared" si="41"/>
        <v>34749.1</v>
      </c>
      <c r="G84" s="658">
        <f t="shared" si="39"/>
        <v>100</v>
      </c>
      <c r="H84" s="233">
        <f t="shared" si="40"/>
        <v>0</v>
      </c>
    </row>
    <row r="85" spans="1:8" ht="26.4" x14ac:dyDescent="0.25">
      <c r="A85" s="7"/>
      <c r="B85" s="7" t="s">
        <v>57</v>
      </c>
      <c r="C85" s="138" t="s">
        <v>56</v>
      </c>
      <c r="D85" s="233">
        <v>34749.1</v>
      </c>
      <c r="E85" s="233">
        <v>34749.1</v>
      </c>
      <c r="F85" s="233">
        <v>34749.1</v>
      </c>
      <c r="G85" s="658">
        <f t="shared" si="39"/>
        <v>100</v>
      </c>
      <c r="H85" s="233">
        <f t="shared" si="40"/>
        <v>0</v>
      </c>
    </row>
    <row r="86" spans="1:8" ht="66" x14ac:dyDescent="0.25">
      <c r="A86" s="7" t="s">
        <v>236</v>
      </c>
      <c r="B86" s="7"/>
      <c r="C86" s="138" t="s">
        <v>235</v>
      </c>
      <c r="D86" s="233">
        <f>D87</f>
        <v>218466.32459999999</v>
      </c>
      <c r="E86" s="233">
        <f t="shared" ref="E86:F86" si="42">E87</f>
        <v>278642.13867999997</v>
      </c>
      <c r="F86" s="233">
        <f t="shared" si="42"/>
        <v>278642.13867999997</v>
      </c>
      <c r="G86" s="658">
        <f t="shared" si="39"/>
        <v>100</v>
      </c>
      <c r="H86" s="233">
        <f t="shared" si="40"/>
        <v>0</v>
      </c>
    </row>
    <row r="87" spans="1:8" ht="26.4" x14ac:dyDescent="0.25">
      <c r="A87" s="7"/>
      <c r="B87" s="7" t="s">
        <v>57</v>
      </c>
      <c r="C87" s="138" t="s">
        <v>56</v>
      </c>
      <c r="D87" s="233">
        <v>218466.32459999999</v>
      </c>
      <c r="E87" s="233">
        <v>278642.13867999997</v>
      </c>
      <c r="F87" s="233">
        <v>278642.13867999997</v>
      </c>
      <c r="G87" s="658">
        <f t="shared" si="39"/>
        <v>100</v>
      </c>
      <c r="H87" s="233">
        <f t="shared" si="40"/>
        <v>0</v>
      </c>
    </row>
    <row r="88" spans="1:8" ht="105.6" x14ac:dyDescent="0.25">
      <c r="A88" s="7" t="s">
        <v>234</v>
      </c>
      <c r="B88" s="7"/>
      <c r="C88" s="138" t="s">
        <v>233</v>
      </c>
      <c r="D88" s="233">
        <f>D89</f>
        <v>9655.1</v>
      </c>
      <c r="E88" s="233">
        <f t="shared" ref="E88:F88" si="43">E89</f>
        <v>9655.1</v>
      </c>
      <c r="F88" s="233">
        <f t="shared" si="43"/>
        <v>9655.1</v>
      </c>
      <c r="G88" s="658">
        <f t="shared" si="39"/>
        <v>100</v>
      </c>
      <c r="H88" s="233">
        <f t="shared" si="40"/>
        <v>0</v>
      </c>
    </row>
    <row r="89" spans="1:8" ht="34.5" customHeight="1" x14ac:dyDescent="0.25">
      <c r="A89" s="7"/>
      <c r="B89" s="7" t="s">
        <v>57</v>
      </c>
      <c r="C89" s="138" t="s">
        <v>56</v>
      </c>
      <c r="D89" s="233">
        <f>D90+D91</f>
        <v>9655.1</v>
      </c>
      <c r="E89" s="233">
        <f t="shared" ref="E89:F89" si="44">E90+E91</f>
        <v>9655.1</v>
      </c>
      <c r="F89" s="233">
        <f t="shared" si="44"/>
        <v>9655.1</v>
      </c>
      <c r="G89" s="658">
        <f t="shared" si="39"/>
        <v>100</v>
      </c>
      <c r="H89" s="233">
        <f t="shared" si="40"/>
        <v>0</v>
      </c>
    </row>
    <row r="90" spans="1:8" x14ac:dyDescent="0.25">
      <c r="A90" s="7"/>
      <c r="B90" s="7"/>
      <c r="C90" s="138" t="s">
        <v>157</v>
      </c>
      <c r="D90" s="233">
        <v>8930.9</v>
      </c>
      <c r="E90" s="233">
        <v>8930.9</v>
      </c>
      <c r="F90" s="233">
        <v>8930.9</v>
      </c>
      <c r="G90" s="658">
        <f t="shared" si="39"/>
        <v>100</v>
      </c>
      <c r="H90" s="233">
        <f t="shared" si="40"/>
        <v>0</v>
      </c>
    </row>
    <row r="91" spans="1:8" x14ac:dyDescent="0.25">
      <c r="A91" s="7"/>
      <c r="B91" s="7"/>
      <c r="C91" s="138" t="s">
        <v>156</v>
      </c>
      <c r="D91" s="233">
        <v>724.2</v>
      </c>
      <c r="E91" s="233">
        <v>724.2</v>
      </c>
      <c r="F91" s="233">
        <v>724.2</v>
      </c>
      <c r="G91" s="658">
        <f t="shared" si="39"/>
        <v>100</v>
      </c>
      <c r="H91" s="233">
        <f t="shared" si="40"/>
        <v>0</v>
      </c>
    </row>
    <row r="92" spans="1:8" ht="52.8" x14ac:dyDescent="0.25">
      <c r="A92" s="342" t="s">
        <v>868</v>
      </c>
      <c r="B92" s="342"/>
      <c r="C92" s="391" t="s">
        <v>869</v>
      </c>
      <c r="D92" s="676"/>
      <c r="E92" s="676">
        <v>602.70000000000005</v>
      </c>
      <c r="F92" s="676">
        <v>562.27499999999998</v>
      </c>
      <c r="G92" s="658">
        <f t="shared" ref="G92:G93" si="45">F92/E92*100</f>
        <v>93.292682926829258</v>
      </c>
      <c r="H92" s="233">
        <f t="shared" ref="H92:H93" si="46">E92-F92</f>
        <v>40.425000000000068</v>
      </c>
    </row>
    <row r="93" spans="1:8" ht="30" customHeight="1" x14ac:dyDescent="0.25">
      <c r="A93" s="342"/>
      <c r="B93" s="342" t="s">
        <v>57</v>
      </c>
      <c r="C93" s="391" t="s">
        <v>56</v>
      </c>
      <c r="D93" s="676"/>
      <c r="E93" s="676">
        <v>602.70000000000005</v>
      </c>
      <c r="F93" s="676">
        <v>562.27499999999998</v>
      </c>
      <c r="G93" s="658">
        <f t="shared" si="45"/>
        <v>93.292682926829258</v>
      </c>
      <c r="H93" s="233">
        <f t="shared" si="46"/>
        <v>40.425000000000068</v>
      </c>
    </row>
    <row r="94" spans="1:8" ht="52.8" x14ac:dyDescent="0.25">
      <c r="A94" s="190" t="s">
        <v>177</v>
      </c>
      <c r="B94" s="190"/>
      <c r="C94" s="200" t="s">
        <v>176</v>
      </c>
      <c r="D94" s="232">
        <f>D95+D97+D99+D101+D103+D105+D109+D111</f>
        <v>40418.599999999991</v>
      </c>
      <c r="E94" s="232">
        <f>E95+E97+E99+E101+E103+E105+E109+E111+E107</f>
        <v>29118.530999999995</v>
      </c>
      <c r="F94" s="232">
        <f>F95+F97+F99+F101+F103+F105+F109+F111+F107</f>
        <v>28542.457009999998</v>
      </c>
      <c r="G94" s="657">
        <f t="shared" si="39"/>
        <v>98.021624133442728</v>
      </c>
      <c r="H94" s="232">
        <f t="shared" si="40"/>
        <v>576.07398999999714</v>
      </c>
    </row>
    <row r="95" spans="1:8" ht="26.4" x14ac:dyDescent="0.25">
      <c r="A95" s="7" t="s">
        <v>232</v>
      </c>
      <c r="B95" s="7"/>
      <c r="C95" s="138" t="s">
        <v>231</v>
      </c>
      <c r="D95" s="233">
        <f>D96</f>
        <v>7208.4</v>
      </c>
      <c r="E95" s="233">
        <f t="shared" ref="E95:F95" si="47">E96</f>
        <v>7208.4</v>
      </c>
      <c r="F95" s="233">
        <f t="shared" si="47"/>
        <v>7208.4</v>
      </c>
      <c r="G95" s="658">
        <f t="shared" si="39"/>
        <v>100</v>
      </c>
      <c r="H95" s="233">
        <f t="shared" si="40"/>
        <v>0</v>
      </c>
    </row>
    <row r="96" spans="1:8" ht="26.4" x14ac:dyDescent="0.25">
      <c r="A96" s="7"/>
      <c r="B96" s="7" t="s">
        <v>57</v>
      </c>
      <c r="C96" s="138" t="s">
        <v>56</v>
      </c>
      <c r="D96" s="233">
        <v>7208.4</v>
      </c>
      <c r="E96" s="233">
        <v>7208.4</v>
      </c>
      <c r="F96" s="233">
        <v>7208.4</v>
      </c>
      <c r="G96" s="658">
        <f t="shared" si="39"/>
        <v>100</v>
      </c>
      <c r="H96" s="233">
        <f t="shared" si="40"/>
        <v>0</v>
      </c>
    </row>
    <row r="97" spans="1:8" ht="39.6" x14ac:dyDescent="0.25">
      <c r="A97" s="7" t="s">
        <v>171</v>
      </c>
      <c r="B97" s="7"/>
      <c r="C97" s="138" t="s">
        <v>752</v>
      </c>
      <c r="D97" s="233">
        <f>D98</f>
        <v>1659.5</v>
      </c>
      <c r="E97" s="233">
        <f t="shared" ref="E97:F97" si="48">E98</f>
        <v>1629.653</v>
      </c>
      <c r="F97" s="233">
        <f t="shared" si="48"/>
        <v>1626.153</v>
      </c>
      <c r="G97" s="658">
        <f t="shared" si="39"/>
        <v>99.785230352719253</v>
      </c>
      <c r="H97" s="233">
        <f t="shared" si="40"/>
        <v>3.5</v>
      </c>
    </row>
    <row r="98" spans="1:8" ht="26.4" x14ac:dyDescent="0.25">
      <c r="A98" s="7"/>
      <c r="B98" s="7" t="s">
        <v>57</v>
      </c>
      <c r="C98" s="138" t="s">
        <v>56</v>
      </c>
      <c r="D98" s="233">
        <f>1519.4+140.1</f>
        <v>1659.5</v>
      </c>
      <c r="E98" s="233">
        <v>1629.653</v>
      </c>
      <c r="F98" s="233">
        <v>1626.153</v>
      </c>
      <c r="G98" s="658">
        <f t="shared" si="39"/>
        <v>99.785230352719253</v>
      </c>
      <c r="H98" s="233">
        <f t="shared" si="40"/>
        <v>3.5</v>
      </c>
    </row>
    <row r="99" spans="1:8" ht="39.6" x14ac:dyDescent="0.25">
      <c r="A99" s="7" t="s">
        <v>230</v>
      </c>
      <c r="B99" s="7"/>
      <c r="C99" s="138" t="s">
        <v>229</v>
      </c>
      <c r="D99" s="233">
        <f>D100</f>
        <v>419.8</v>
      </c>
      <c r="E99" s="233">
        <f t="shared" ref="E99:F99" si="49">E100</f>
        <v>419.8</v>
      </c>
      <c r="F99" s="233">
        <f t="shared" si="49"/>
        <v>419.8</v>
      </c>
      <c r="G99" s="658">
        <f t="shared" si="39"/>
        <v>100</v>
      </c>
      <c r="H99" s="233">
        <f t="shared" si="40"/>
        <v>0</v>
      </c>
    </row>
    <row r="100" spans="1:8" ht="26.4" x14ac:dyDescent="0.25">
      <c r="A100" s="7"/>
      <c r="B100" s="7" t="s">
        <v>57</v>
      </c>
      <c r="C100" s="138" t="s">
        <v>56</v>
      </c>
      <c r="D100" s="233">
        <v>419.8</v>
      </c>
      <c r="E100" s="233">
        <v>419.8</v>
      </c>
      <c r="F100" s="233">
        <v>419.8</v>
      </c>
      <c r="G100" s="658">
        <f t="shared" si="39"/>
        <v>100</v>
      </c>
      <c r="H100" s="233">
        <f t="shared" si="40"/>
        <v>0</v>
      </c>
    </row>
    <row r="101" spans="1:8" ht="39.6" x14ac:dyDescent="0.25">
      <c r="A101" s="7" t="s">
        <v>228</v>
      </c>
      <c r="B101" s="7"/>
      <c r="C101" s="138" t="s">
        <v>227</v>
      </c>
      <c r="D101" s="233">
        <f>D102</f>
        <v>113.8</v>
      </c>
      <c r="E101" s="233">
        <f t="shared" ref="E101:F101" si="50">E102</f>
        <v>113.8</v>
      </c>
      <c r="F101" s="233">
        <f t="shared" si="50"/>
        <v>113.8</v>
      </c>
      <c r="G101" s="658">
        <f t="shared" si="39"/>
        <v>100</v>
      </c>
      <c r="H101" s="233">
        <f t="shared" si="40"/>
        <v>0</v>
      </c>
    </row>
    <row r="102" spans="1:8" ht="26.4" x14ac:dyDescent="0.25">
      <c r="A102" s="7"/>
      <c r="B102" s="7" t="s">
        <v>57</v>
      </c>
      <c r="C102" s="138" t="s">
        <v>56</v>
      </c>
      <c r="D102" s="233">
        <v>113.8</v>
      </c>
      <c r="E102" s="233">
        <v>113.8</v>
      </c>
      <c r="F102" s="233">
        <v>113.8</v>
      </c>
      <c r="G102" s="658">
        <f t="shared" si="39"/>
        <v>100</v>
      </c>
      <c r="H102" s="233">
        <f t="shared" si="40"/>
        <v>0</v>
      </c>
    </row>
    <row r="103" spans="1:8" ht="26.4" x14ac:dyDescent="0.25">
      <c r="A103" s="71" t="s">
        <v>175</v>
      </c>
      <c r="B103" s="7"/>
      <c r="C103" s="138" t="s">
        <v>174</v>
      </c>
      <c r="D103" s="233">
        <f>D104</f>
        <v>3726.4</v>
      </c>
      <c r="E103" s="233">
        <f t="shared" ref="E103:F103" si="51">E104</f>
        <v>3878.8</v>
      </c>
      <c r="F103" s="233">
        <f t="shared" si="51"/>
        <v>3645.7947899999999</v>
      </c>
      <c r="G103" s="658">
        <f t="shared" si="39"/>
        <v>93.992853202021237</v>
      </c>
      <c r="H103" s="233">
        <f t="shared" si="40"/>
        <v>233.00521000000026</v>
      </c>
    </row>
    <row r="104" spans="1:8" ht="26.4" x14ac:dyDescent="0.25">
      <c r="A104" s="71"/>
      <c r="B104" s="7" t="s">
        <v>57</v>
      </c>
      <c r="C104" s="138" t="s">
        <v>56</v>
      </c>
      <c r="D104" s="233">
        <v>3726.4</v>
      </c>
      <c r="E104" s="233">
        <v>3878.8</v>
      </c>
      <c r="F104" s="233">
        <v>3645.7947899999999</v>
      </c>
      <c r="G104" s="658">
        <f t="shared" si="39"/>
        <v>93.992853202021237</v>
      </c>
      <c r="H104" s="233">
        <f t="shared" si="40"/>
        <v>233.00521000000026</v>
      </c>
    </row>
    <row r="105" spans="1:8" ht="26.4" x14ac:dyDescent="0.25">
      <c r="A105" s="71" t="s">
        <v>173</v>
      </c>
      <c r="B105" s="7"/>
      <c r="C105" s="138" t="s">
        <v>172</v>
      </c>
      <c r="D105" s="233">
        <f>D106</f>
        <v>4104.8</v>
      </c>
      <c r="E105" s="233">
        <f t="shared" ref="E105:F105" si="52">E106</f>
        <v>2522.6</v>
      </c>
      <c r="F105" s="233">
        <f t="shared" si="52"/>
        <v>2183.0322099999998</v>
      </c>
      <c r="G105" s="658">
        <f t="shared" si="39"/>
        <v>86.538976056449684</v>
      </c>
      <c r="H105" s="233">
        <f t="shared" si="40"/>
        <v>339.56779000000006</v>
      </c>
    </row>
    <row r="106" spans="1:8" ht="26.4" x14ac:dyDescent="0.25">
      <c r="A106" s="71"/>
      <c r="B106" s="7" t="s">
        <v>57</v>
      </c>
      <c r="C106" s="138" t="s">
        <v>56</v>
      </c>
      <c r="D106" s="233">
        <v>4104.8</v>
      </c>
      <c r="E106" s="233">
        <v>2522.6</v>
      </c>
      <c r="F106" s="233">
        <v>2183.0322099999998</v>
      </c>
      <c r="G106" s="658">
        <f t="shared" si="39"/>
        <v>86.538976056449684</v>
      </c>
      <c r="H106" s="233">
        <f t="shared" si="40"/>
        <v>339.56779000000006</v>
      </c>
    </row>
    <row r="107" spans="1:8" ht="39.6" x14ac:dyDescent="0.25">
      <c r="A107" s="342" t="s">
        <v>870</v>
      </c>
      <c r="B107" s="342"/>
      <c r="C107" s="391" t="s">
        <v>595</v>
      </c>
      <c r="D107" s="676"/>
      <c r="E107" s="676">
        <f>E108</f>
        <v>1860</v>
      </c>
      <c r="F107" s="676">
        <f>F108</f>
        <v>1860</v>
      </c>
      <c r="G107" s="658">
        <f t="shared" ref="G107:G108" si="53">F107/E107*100</f>
        <v>100</v>
      </c>
      <c r="H107" s="233">
        <f t="shared" ref="H107:H108" si="54">E107-F107</f>
        <v>0</v>
      </c>
    </row>
    <row r="108" spans="1:8" ht="26.4" x14ac:dyDescent="0.25">
      <c r="A108" s="342"/>
      <c r="B108" s="342" t="s">
        <v>57</v>
      </c>
      <c r="C108" s="391" t="s">
        <v>56</v>
      </c>
      <c r="D108" s="676"/>
      <c r="E108" s="676">
        <v>1860</v>
      </c>
      <c r="F108" s="676">
        <v>1860</v>
      </c>
      <c r="G108" s="658">
        <f t="shared" si="53"/>
        <v>100</v>
      </c>
      <c r="H108" s="233">
        <f t="shared" si="54"/>
        <v>0</v>
      </c>
    </row>
    <row r="109" spans="1:8" ht="52.8" x14ac:dyDescent="0.25">
      <c r="A109" s="7" t="s">
        <v>745</v>
      </c>
      <c r="B109" s="7"/>
      <c r="C109" s="138" t="s">
        <v>226</v>
      </c>
      <c r="D109" s="233">
        <f>D110</f>
        <v>11589.1</v>
      </c>
      <c r="E109" s="233"/>
      <c r="F109" s="233"/>
      <c r="G109" s="658"/>
      <c r="H109" s="233">
        <f t="shared" si="40"/>
        <v>0</v>
      </c>
    </row>
    <row r="110" spans="1:8" ht="26.4" x14ac:dyDescent="0.25">
      <c r="A110" s="7"/>
      <c r="B110" s="7" t="s">
        <v>57</v>
      </c>
      <c r="C110" s="138" t="s">
        <v>56</v>
      </c>
      <c r="D110" s="233">
        <v>11589.1</v>
      </c>
      <c r="E110" s="233"/>
      <c r="F110" s="233"/>
      <c r="G110" s="658"/>
      <c r="H110" s="233">
        <f t="shared" si="40"/>
        <v>0</v>
      </c>
    </row>
    <row r="111" spans="1:8" ht="52.8" x14ac:dyDescent="0.25">
      <c r="A111" s="7" t="s">
        <v>225</v>
      </c>
      <c r="B111" s="7"/>
      <c r="C111" s="138" t="s">
        <v>224</v>
      </c>
      <c r="D111" s="233">
        <f>D112</f>
        <v>11596.8</v>
      </c>
      <c r="E111" s="233">
        <f t="shared" ref="E111" si="55">E112</f>
        <v>11485.477999999999</v>
      </c>
      <c r="F111" s="309">
        <f>F112</f>
        <v>11485.477010000001</v>
      </c>
      <c r="G111" s="658">
        <f t="shared" si="39"/>
        <v>99.999991380419701</v>
      </c>
      <c r="H111" s="233">
        <f t="shared" si="40"/>
        <v>9.8999999863735866E-4</v>
      </c>
    </row>
    <row r="112" spans="1:8" ht="26.4" x14ac:dyDescent="0.25">
      <c r="A112" s="7"/>
      <c r="B112" s="7" t="s">
        <v>57</v>
      </c>
      <c r="C112" s="138" t="s">
        <v>56</v>
      </c>
      <c r="D112" s="233">
        <v>11596.8</v>
      </c>
      <c r="E112" s="675">
        <v>11485.477999999999</v>
      </c>
      <c r="F112" s="309">
        <v>11485.477010000001</v>
      </c>
      <c r="G112" s="658">
        <f t="shared" si="39"/>
        <v>99.999991380419701</v>
      </c>
      <c r="H112" s="233">
        <f t="shared" si="40"/>
        <v>9.8999999863735866E-4</v>
      </c>
    </row>
    <row r="113" spans="1:8" s="139" customFormat="1" ht="52.8" x14ac:dyDescent="0.25">
      <c r="A113" s="190" t="s">
        <v>285</v>
      </c>
      <c r="B113" s="190"/>
      <c r="C113" s="200" t="s">
        <v>284</v>
      </c>
      <c r="D113" s="232">
        <f>D117</f>
        <v>734.43000000000029</v>
      </c>
      <c r="E113" s="232">
        <f>E117+E114</f>
        <v>2664.7431000000001</v>
      </c>
      <c r="F113" s="232">
        <f>F117+F114</f>
        <v>2642.0524500000001</v>
      </c>
      <c r="G113" s="657">
        <f t="shared" si="39"/>
        <v>99.148486396305884</v>
      </c>
      <c r="H113" s="232">
        <f t="shared" si="40"/>
        <v>22.690650000000005</v>
      </c>
    </row>
    <row r="114" spans="1:8" ht="26.4" x14ac:dyDescent="0.25">
      <c r="A114" s="7" t="s">
        <v>866</v>
      </c>
      <c r="B114" s="7"/>
      <c r="C114" s="90" t="s">
        <v>867</v>
      </c>
      <c r="D114" s="233"/>
      <c r="E114" s="233">
        <f t="shared" ref="E114:F114" si="56">E115</f>
        <v>1930.36258</v>
      </c>
      <c r="F114" s="233">
        <f t="shared" si="56"/>
        <v>1907.67193</v>
      </c>
      <c r="G114" s="658">
        <f t="shared" ref="G114:G115" si="57">F114/E114*100</f>
        <v>98.824539481075107</v>
      </c>
      <c r="H114" s="233">
        <f t="shared" ref="H114:H115" si="58">E114-F114</f>
        <v>22.690650000000005</v>
      </c>
    </row>
    <row r="115" spans="1:8" ht="39.6" x14ac:dyDescent="0.25">
      <c r="A115" s="7"/>
      <c r="B115" s="7" t="s">
        <v>260</v>
      </c>
      <c r="C115" s="6" t="s">
        <v>259</v>
      </c>
      <c r="D115" s="233"/>
      <c r="E115" s="233">
        <f>E116</f>
        <v>1930.36258</v>
      </c>
      <c r="F115" s="233">
        <f>F116</f>
        <v>1907.67193</v>
      </c>
      <c r="G115" s="658">
        <f t="shared" si="57"/>
        <v>98.824539481075107</v>
      </c>
      <c r="H115" s="233">
        <f t="shared" si="58"/>
        <v>22.690650000000005</v>
      </c>
    </row>
    <row r="116" spans="1:8" s="139" customFormat="1" x14ac:dyDescent="0.25">
      <c r="A116" s="342"/>
      <c r="B116" s="342"/>
      <c r="C116" s="6" t="s">
        <v>108</v>
      </c>
      <c r="D116" s="678"/>
      <c r="E116" s="676">
        <v>1930.36258</v>
      </c>
      <c r="F116" s="676">
        <v>1907.67193</v>
      </c>
      <c r="G116" s="679"/>
      <c r="H116" s="678"/>
    </row>
    <row r="117" spans="1:8" ht="39.6" x14ac:dyDescent="0.25">
      <c r="A117" s="7" t="s">
        <v>283</v>
      </c>
      <c r="B117" s="7"/>
      <c r="C117" s="90" t="s">
        <v>282</v>
      </c>
      <c r="D117" s="233">
        <f t="shared" ref="D117:F117" si="59">D118</f>
        <v>734.43000000000029</v>
      </c>
      <c r="E117" s="233">
        <f t="shared" si="59"/>
        <v>734.38052000000005</v>
      </c>
      <c r="F117" s="233">
        <f t="shared" si="59"/>
        <v>734.38052000000005</v>
      </c>
      <c r="G117" s="658">
        <f t="shared" si="39"/>
        <v>100</v>
      </c>
      <c r="H117" s="233">
        <f t="shared" si="40"/>
        <v>0</v>
      </c>
    </row>
    <row r="118" spans="1:8" ht="39.6" x14ac:dyDescent="0.25">
      <c r="A118" s="7"/>
      <c r="B118" s="7" t="s">
        <v>260</v>
      </c>
      <c r="C118" s="6" t="s">
        <v>259</v>
      </c>
      <c r="D118" s="233">
        <f>8191.33-7456.9</f>
        <v>734.43000000000029</v>
      </c>
      <c r="E118" s="233">
        <f>E119</f>
        <v>734.38052000000005</v>
      </c>
      <c r="F118" s="233">
        <f>F119</f>
        <v>734.38052000000005</v>
      </c>
      <c r="G118" s="658">
        <f t="shared" si="39"/>
        <v>100</v>
      </c>
      <c r="H118" s="233">
        <f t="shared" si="40"/>
        <v>0</v>
      </c>
    </row>
    <row r="119" spans="1:8" x14ac:dyDescent="0.25">
      <c r="A119" s="342"/>
      <c r="B119" s="342"/>
      <c r="C119" s="6" t="s">
        <v>106</v>
      </c>
      <c r="D119" s="676"/>
      <c r="E119" s="676">
        <v>734.38052000000005</v>
      </c>
      <c r="F119" s="676">
        <v>734.38052000000005</v>
      </c>
      <c r="G119" s="677"/>
      <c r="H119" s="676"/>
    </row>
    <row r="120" spans="1:8" ht="26.4" x14ac:dyDescent="0.25">
      <c r="A120" s="299" t="s">
        <v>813</v>
      </c>
      <c r="B120" s="300"/>
      <c r="C120" s="301" t="s">
        <v>814</v>
      </c>
      <c r="D120" s="232">
        <f>D123</f>
        <v>428.48340000000002</v>
      </c>
      <c r="E120" s="232">
        <f>E123+E121+E125</f>
        <v>22437.570199999998</v>
      </c>
      <c r="F120" s="232">
        <f>F123+F121+F125</f>
        <v>22437.570199999998</v>
      </c>
      <c r="G120" s="657">
        <f t="shared" si="39"/>
        <v>100</v>
      </c>
      <c r="H120" s="232">
        <f t="shared" si="40"/>
        <v>0</v>
      </c>
    </row>
    <row r="121" spans="1:8" ht="66" x14ac:dyDescent="0.25">
      <c r="A121" s="433" t="s">
        <v>871</v>
      </c>
      <c r="B121" s="433"/>
      <c r="C121" s="391" t="s">
        <v>872</v>
      </c>
      <c r="D121" s="421"/>
      <c r="E121" s="680">
        <v>267</v>
      </c>
      <c r="F121" s="680">
        <v>267</v>
      </c>
      <c r="G121" s="658">
        <f t="shared" ref="G121:G122" si="60">F121/E121*100</f>
        <v>100</v>
      </c>
      <c r="H121" s="233">
        <f t="shared" ref="H121:H122" si="61">E121-F121</f>
        <v>0</v>
      </c>
    </row>
    <row r="122" spans="1:8" ht="26.4" x14ac:dyDescent="0.25">
      <c r="A122" s="433"/>
      <c r="B122" s="433" t="s">
        <v>57</v>
      </c>
      <c r="C122" s="434" t="s">
        <v>56</v>
      </c>
      <c r="D122" s="421"/>
      <c r="E122" s="680">
        <v>267</v>
      </c>
      <c r="F122" s="680">
        <v>267</v>
      </c>
      <c r="G122" s="658">
        <f t="shared" si="60"/>
        <v>100</v>
      </c>
      <c r="H122" s="233">
        <f t="shared" si="61"/>
        <v>0</v>
      </c>
    </row>
    <row r="123" spans="1:8" ht="52.8" x14ac:dyDescent="0.25">
      <c r="A123" s="302" t="s">
        <v>815</v>
      </c>
      <c r="B123" s="302"/>
      <c r="C123" s="320" t="s">
        <v>221</v>
      </c>
      <c r="D123" s="233">
        <f t="shared" ref="D123:F123" si="62">D124</f>
        <v>428.48340000000002</v>
      </c>
      <c r="E123" s="233">
        <f t="shared" si="62"/>
        <v>429.77019999999999</v>
      </c>
      <c r="F123" s="233">
        <f t="shared" si="62"/>
        <v>429.77019999999999</v>
      </c>
      <c r="G123" s="658">
        <f t="shared" si="39"/>
        <v>100</v>
      </c>
      <c r="H123" s="233">
        <f t="shared" si="40"/>
        <v>0</v>
      </c>
    </row>
    <row r="124" spans="1:8" ht="26.4" x14ac:dyDescent="0.25">
      <c r="A124" s="7"/>
      <c r="B124" s="7" t="s">
        <v>57</v>
      </c>
      <c r="C124" s="138" t="s">
        <v>56</v>
      </c>
      <c r="D124" s="233">
        <v>428.48340000000002</v>
      </c>
      <c r="E124" s="233">
        <v>429.77019999999999</v>
      </c>
      <c r="F124" s="233">
        <v>429.77019999999999</v>
      </c>
      <c r="G124" s="658">
        <f t="shared" si="39"/>
        <v>100</v>
      </c>
      <c r="H124" s="233">
        <f t="shared" si="40"/>
        <v>0</v>
      </c>
    </row>
    <row r="125" spans="1:8" ht="52.8" x14ac:dyDescent="0.25">
      <c r="A125" s="433" t="s">
        <v>873</v>
      </c>
      <c r="B125" s="433"/>
      <c r="C125" s="391" t="s">
        <v>226</v>
      </c>
      <c r="D125" s="676"/>
      <c r="E125" s="676">
        <v>21740.799999999999</v>
      </c>
      <c r="F125" s="676">
        <v>21740.799999999999</v>
      </c>
      <c r="G125" s="658">
        <f t="shared" ref="G125:G126" si="63">F125/E125*100</f>
        <v>100</v>
      </c>
      <c r="H125" s="233">
        <f t="shared" ref="H125:H126" si="64">E125-F125</f>
        <v>0</v>
      </c>
    </row>
    <row r="126" spans="1:8" ht="26.4" x14ac:dyDescent="0.25">
      <c r="A126" s="433"/>
      <c r="B126" s="433" t="s">
        <v>57</v>
      </c>
      <c r="C126" s="434" t="s">
        <v>56</v>
      </c>
      <c r="D126" s="676"/>
      <c r="E126" s="676">
        <v>21740.799999999999</v>
      </c>
      <c r="F126" s="676">
        <v>21740.799999999999</v>
      </c>
      <c r="G126" s="658">
        <f t="shared" si="63"/>
        <v>100</v>
      </c>
      <c r="H126" s="233">
        <f t="shared" si="64"/>
        <v>0</v>
      </c>
    </row>
    <row r="127" spans="1:8" ht="26.4" x14ac:dyDescent="0.25">
      <c r="A127" s="31" t="s">
        <v>210</v>
      </c>
      <c r="B127" s="31"/>
      <c r="C127" s="137" t="s">
        <v>209</v>
      </c>
      <c r="D127" s="237">
        <f>D128</f>
        <v>36597.299999999996</v>
      </c>
      <c r="E127" s="237">
        <f t="shared" ref="E127:F127" si="65">E128</f>
        <v>36597.299999999996</v>
      </c>
      <c r="F127" s="237">
        <f t="shared" si="65"/>
        <v>36597.299999999996</v>
      </c>
      <c r="G127" s="663">
        <f t="shared" si="39"/>
        <v>100</v>
      </c>
      <c r="H127" s="237">
        <f t="shared" si="40"/>
        <v>0</v>
      </c>
    </row>
    <row r="128" spans="1:8" ht="39.6" x14ac:dyDescent="0.25">
      <c r="A128" s="190" t="s">
        <v>208</v>
      </c>
      <c r="B128" s="197"/>
      <c r="C128" s="200" t="s">
        <v>207</v>
      </c>
      <c r="D128" s="238">
        <f>D129+D131+D133+D135+D137+D139+D141</f>
        <v>36597.299999999996</v>
      </c>
      <c r="E128" s="238">
        <f t="shared" ref="E128:F128" si="66">E129+E131+E133+E135+E137+E139+E141</f>
        <v>36597.299999999996</v>
      </c>
      <c r="F128" s="238">
        <f t="shared" si="66"/>
        <v>36597.299999999996</v>
      </c>
      <c r="G128" s="664">
        <f t="shared" si="39"/>
        <v>100</v>
      </c>
      <c r="H128" s="238">
        <f t="shared" si="40"/>
        <v>0</v>
      </c>
    </row>
    <row r="129" spans="1:8" ht="52.8" x14ac:dyDescent="0.25">
      <c r="A129" s="7" t="s">
        <v>214</v>
      </c>
      <c r="B129" s="61"/>
      <c r="C129" s="138" t="s">
        <v>213</v>
      </c>
      <c r="D129" s="233">
        <v>22530.799999999999</v>
      </c>
      <c r="E129" s="233">
        <v>22530.799999999999</v>
      </c>
      <c r="F129" s="233">
        <v>22530.799999999999</v>
      </c>
      <c r="G129" s="658">
        <f t="shared" si="39"/>
        <v>100</v>
      </c>
      <c r="H129" s="233">
        <f t="shared" si="40"/>
        <v>0</v>
      </c>
    </row>
    <row r="130" spans="1:8" ht="26.4" x14ac:dyDescent="0.25">
      <c r="A130" s="7"/>
      <c r="B130" s="7" t="s">
        <v>57</v>
      </c>
      <c r="C130" s="138" t="s">
        <v>56</v>
      </c>
      <c r="D130" s="233">
        <f>22073.1-730.1+1190.7</f>
        <v>22533.7</v>
      </c>
      <c r="E130" s="233">
        <v>22530.799999999999</v>
      </c>
      <c r="F130" s="233">
        <v>22530.799999999999</v>
      </c>
      <c r="G130" s="658">
        <f t="shared" si="39"/>
        <v>100</v>
      </c>
      <c r="H130" s="233">
        <f t="shared" si="40"/>
        <v>0</v>
      </c>
    </row>
    <row r="131" spans="1:8" ht="52.8" x14ac:dyDescent="0.25">
      <c r="A131" s="7" t="s">
        <v>212</v>
      </c>
      <c r="B131" s="61"/>
      <c r="C131" s="138" t="s">
        <v>211</v>
      </c>
      <c r="D131" s="233">
        <f>D132</f>
        <v>13325.4</v>
      </c>
      <c r="E131" s="233">
        <f t="shared" ref="E131:F131" si="67">E132</f>
        <v>13325.4</v>
      </c>
      <c r="F131" s="233">
        <f t="shared" si="67"/>
        <v>13325.4</v>
      </c>
      <c r="G131" s="658">
        <f t="shared" si="39"/>
        <v>100</v>
      </c>
      <c r="H131" s="233">
        <f t="shared" si="40"/>
        <v>0</v>
      </c>
    </row>
    <row r="132" spans="1:8" ht="26.4" x14ac:dyDescent="0.25">
      <c r="A132" s="7"/>
      <c r="B132" s="7" t="s">
        <v>57</v>
      </c>
      <c r="C132" s="138" t="s">
        <v>56</v>
      </c>
      <c r="D132" s="233">
        <v>13325.4</v>
      </c>
      <c r="E132" s="233">
        <v>13325.4</v>
      </c>
      <c r="F132" s="233">
        <v>13325.4</v>
      </c>
      <c r="G132" s="658">
        <f t="shared" si="39"/>
        <v>100</v>
      </c>
      <c r="H132" s="233">
        <f t="shared" si="40"/>
        <v>0</v>
      </c>
    </row>
    <row r="133" spans="1:8" ht="26.4" x14ac:dyDescent="0.25">
      <c r="A133" s="7" t="s">
        <v>206</v>
      </c>
      <c r="B133" s="7"/>
      <c r="C133" s="138" t="s">
        <v>205</v>
      </c>
      <c r="D133" s="233">
        <f>D134</f>
        <v>290.5</v>
      </c>
      <c r="E133" s="233">
        <f t="shared" ref="E133:F133" si="68">E134</f>
        <v>290.5</v>
      </c>
      <c r="F133" s="233">
        <f t="shared" si="68"/>
        <v>290.5</v>
      </c>
      <c r="G133" s="658">
        <f t="shared" si="39"/>
        <v>100</v>
      </c>
      <c r="H133" s="233">
        <f t="shared" si="40"/>
        <v>0</v>
      </c>
    </row>
    <row r="134" spans="1:8" ht="26.4" x14ac:dyDescent="0.25">
      <c r="A134" s="7"/>
      <c r="B134" s="7" t="s">
        <v>57</v>
      </c>
      <c r="C134" s="138" t="s">
        <v>56</v>
      </c>
      <c r="D134" s="233">
        <v>290.5</v>
      </c>
      <c r="E134" s="233">
        <v>290.5</v>
      </c>
      <c r="F134" s="233">
        <v>290.5</v>
      </c>
      <c r="G134" s="658">
        <f t="shared" si="39"/>
        <v>100</v>
      </c>
      <c r="H134" s="233">
        <f t="shared" si="40"/>
        <v>0</v>
      </c>
    </row>
    <row r="135" spans="1:8" ht="26.4" x14ac:dyDescent="0.25">
      <c r="A135" s="7" t="s">
        <v>204</v>
      </c>
      <c r="B135" s="7"/>
      <c r="C135" s="138" t="s">
        <v>753</v>
      </c>
      <c r="D135" s="233">
        <f>D136</f>
        <v>120.3</v>
      </c>
      <c r="E135" s="233">
        <f t="shared" ref="E135:F135" si="69">E136</f>
        <v>120.3</v>
      </c>
      <c r="F135" s="233">
        <f t="shared" si="69"/>
        <v>120.3</v>
      </c>
      <c r="G135" s="658">
        <f t="shared" si="39"/>
        <v>100</v>
      </c>
      <c r="H135" s="233">
        <f t="shared" si="40"/>
        <v>0</v>
      </c>
    </row>
    <row r="136" spans="1:8" ht="26.4" x14ac:dyDescent="0.25">
      <c r="A136" s="7"/>
      <c r="B136" s="7" t="s">
        <v>57</v>
      </c>
      <c r="C136" s="138" t="s">
        <v>56</v>
      </c>
      <c r="D136" s="233">
        <v>120.3</v>
      </c>
      <c r="E136" s="233">
        <v>120.3</v>
      </c>
      <c r="F136" s="233">
        <v>120.3</v>
      </c>
      <c r="G136" s="658">
        <f t="shared" si="39"/>
        <v>100</v>
      </c>
      <c r="H136" s="233">
        <f t="shared" si="40"/>
        <v>0</v>
      </c>
    </row>
    <row r="137" spans="1:8" ht="26.4" x14ac:dyDescent="0.25">
      <c r="A137" s="7" t="s">
        <v>202</v>
      </c>
      <c r="B137" s="7"/>
      <c r="C137" s="138" t="s">
        <v>201</v>
      </c>
      <c r="D137" s="233">
        <f>D138</f>
        <v>70.2</v>
      </c>
      <c r="E137" s="233">
        <f t="shared" ref="E137:F137" si="70">E138</f>
        <v>70.2</v>
      </c>
      <c r="F137" s="233">
        <f t="shared" si="70"/>
        <v>70.2</v>
      </c>
      <c r="G137" s="658">
        <f t="shared" si="39"/>
        <v>100</v>
      </c>
      <c r="H137" s="233">
        <f t="shared" si="40"/>
        <v>0</v>
      </c>
    </row>
    <row r="138" spans="1:8" ht="26.4" x14ac:dyDescent="0.25">
      <c r="A138" s="7"/>
      <c r="B138" s="7" t="s">
        <v>57</v>
      </c>
      <c r="C138" s="138" t="s">
        <v>56</v>
      </c>
      <c r="D138" s="233">
        <v>70.2</v>
      </c>
      <c r="E138" s="233">
        <v>70.2</v>
      </c>
      <c r="F138" s="233">
        <v>70.2</v>
      </c>
      <c r="G138" s="658">
        <f t="shared" si="39"/>
        <v>100</v>
      </c>
      <c r="H138" s="233">
        <f t="shared" si="40"/>
        <v>0</v>
      </c>
    </row>
    <row r="139" spans="1:8" ht="52.8" x14ac:dyDescent="0.25">
      <c r="A139" s="7" t="s">
        <v>200</v>
      </c>
      <c r="B139" s="7"/>
      <c r="C139" s="138" t="s">
        <v>199</v>
      </c>
      <c r="D139" s="233">
        <f>D140</f>
        <v>85.9</v>
      </c>
      <c r="E139" s="233">
        <f t="shared" ref="E139:F139" si="71">E140</f>
        <v>85.9</v>
      </c>
      <c r="F139" s="233">
        <f t="shared" si="71"/>
        <v>85.9</v>
      </c>
      <c r="G139" s="658">
        <f t="shared" si="39"/>
        <v>100</v>
      </c>
      <c r="H139" s="233">
        <f t="shared" si="40"/>
        <v>0</v>
      </c>
    </row>
    <row r="140" spans="1:8" ht="26.4" x14ac:dyDescent="0.25">
      <c r="A140" s="7"/>
      <c r="B140" s="7" t="s">
        <v>57</v>
      </c>
      <c r="C140" s="138" t="s">
        <v>56</v>
      </c>
      <c r="D140" s="233">
        <v>85.9</v>
      </c>
      <c r="E140" s="233">
        <v>85.9</v>
      </c>
      <c r="F140" s="233">
        <v>85.9</v>
      </c>
      <c r="G140" s="658">
        <f t="shared" si="39"/>
        <v>100</v>
      </c>
      <c r="H140" s="233">
        <f t="shared" si="40"/>
        <v>0</v>
      </c>
    </row>
    <row r="141" spans="1:8" ht="26.4" x14ac:dyDescent="0.25">
      <c r="A141" s="7" t="s">
        <v>198</v>
      </c>
      <c r="B141" s="7"/>
      <c r="C141" s="138" t="s">
        <v>197</v>
      </c>
      <c r="D141" s="233">
        <f>D142</f>
        <v>174.2</v>
      </c>
      <c r="E141" s="233">
        <f t="shared" ref="E141:F141" si="72">E142</f>
        <v>174.2</v>
      </c>
      <c r="F141" s="233">
        <f t="shared" si="72"/>
        <v>174.2</v>
      </c>
      <c r="G141" s="658">
        <f t="shared" si="39"/>
        <v>100</v>
      </c>
      <c r="H141" s="233">
        <f t="shared" si="40"/>
        <v>0</v>
      </c>
    </row>
    <row r="142" spans="1:8" ht="26.4" x14ac:dyDescent="0.25">
      <c r="A142" s="7"/>
      <c r="B142" s="7" t="s">
        <v>57</v>
      </c>
      <c r="C142" s="138" t="s">
        <v>56</v>
      </c>
      <c r="D142" s="233">
        <v>174.2</v>
      </c>
      <c r="E142" s="233">
        <v>174.2</v>
      </c>
      <c r="F142" s="233">
        <v>174.2</v>
      </c>
      <c r="G142" s="658">
        <f t="shared" si="39"/>
        <v>100</v>
      </c>
      <c r="H142" s="233">
        <f t="shared" si="40"/>
        <v>0</v>
      </c>
    </row>
    <row r="143" spans="1:8" ht="26.4" x14ac:dyDescent="0.25">
      <c r="A143" s="31" t="s">
        <v>136</v>
      </c>
      <c r="B143" s="31"/>
      <c r="C143" s="137" t="s">
        <v>135</v>
      </c>
      <c r="D143" s="237">
        <f>D144</f>
        <v>6383</v>
      </c>
      <c r="E143" s="237">
        <f t="shared" ref="E143:F143" si="73">E144</f>
        <v>6383</v>
      </c>
      <c r="F143" s="237">
        <f t="shared" si="73"/>
        <v>6262.1800700000003</v>
      </c>
      <c r="G143" s="663">
        <f t="shared" si="39"/>
        <v>98.107160739464206</v>
      </c>
      <c r="H143" s="237">
        <f t="shared" si="40"/>
        <v>120.81992999999966</v>
      </c>
    </row>
    <row r="144" spans="1:8" ht="39.6" x14ac:dyDescent="0.25">
      <c r="A144" s="190" t="s">
        <v>134</v>
      </c>
      <c r="B144" s="190"/>
      <c r="C144" s="200" t="s">
        <v>133</v>
      </c>
      <c r="D144" s="238">
        <f>D145+D147+D149</f>
        <v>6383</v>
      </c>
      <c r="E144" s="238">
        <f t="shared" ref="E144:F144" si="74">E145+E147+E149</f>
        <v>6383</v>
      </c>
      <c r="F144" s="238">
        <f t="shared" si="74"/>
        <v>6262.1800700000003</v>
      </c>
      <c r="G144" s="664">
        <f t="shared" si="39"/>
        <v>98.107160739464206</v>
      </c>
      <c r="H144" s="238">
        <f t="shared" si="40"/>
        <v>120.81992999999966</v>
      </c>
    </row>
    <row r="145" spans="1:8" ht="26.4" x14ac:dyDescent="0.25">
      <c r="A145" s="7" t="s">
        <v>196</v>
      </c>
      <c r="B145" s="7"/>
      <c r="C145" s="138" t="s">
        <v>754</v>
      </c>
      <c r="D145" s="233">
        <f>D146</f>
        <v>74</v>
      </c>
      <c r="E145" s="233">
        <f t="shared" ref="E145:F145" si="75">E146</f>
        <v>47.230519999999999</v>
      </c>
      <c r="F145" s="233">
        <f t="shared" si="75"/>
        <v>30.734200000000001</v>
      </c>
      <c r="G145" s="658">
        <f t="shared" si="39"/>
        <v>65.072753804108032</v>
      </c>
      <c r="H145" s="233">
        <f t="shared" si="40"/>
        <v>16.496319999999997</v>
      </c>
    </row>
    <row r="146" spans="1:8" ht="26.4" x14ac:dyDescent="0.25">
      <c r="A146" s="7"/>
      <c r="B146" s="7" t="s">
        <v>57</v>
      </c>
      <c r="C146" s="138" t="s">
        <v>56</v>
      </c>
      <c r="D146" s="233">
        <v>74</v>
      </c>
      <c r="E146" s="233">
        <v>47.230519999999999</v>
      </c>
      <c r="F146" s="233">
        <v>30.734200000000001</v>
      </c>
      <c r="G146" s="658">
        <f t="shared" si="39"/>
        <v>65.072753804108032</v>
      </c>
      <c r="H146" s="233">
        <f t="shared" si="40"/>
        <v>16.496319999999997</v>
      </c>
    </row>
    <row r="147" spans="1:8" ht="39.6" x14ac:dyDescent="0.25">
      <c r="A147" s="7" t="s">
        <v>132</v>
      </c>
      <c r="B147" s="7"/>
      <c r="C147" s="138" t="s">
        <v>131</v>
      </c>
      <c r="D147" s="233">
        <f>D148</f>
        <v>1702.9</v>
      </c>
      <c r="E147" s="233">
        <f t="shared" ref="E147:F147" si="76">E148</f>
        <v>1729.66948</v>
      </c>
      <c r="F147" s="233">
        <f t="shared" si="76"/>
        <v>1712.2963199999999</v>
      </c>
      <c r="G147" s="658">
        <f t="shared" si="39"/>
        <v>98.995579201640297</v>
      </c>
      <c r="H147" s="233">
        <f t="shared" si="40"/>
        <v>17.373160000000098</v>
      </c>
    </row>
    <row r="148" spans="1:8" ht="26.4" x14ac:dyDescent="0.25">
      <c r="A148" s="7"/>
      <c r="B148" s="7" t="s">
        <v>57</v>
      </c>
      <c r="C148" s="138" t="s">
        <v>56</v>
      </c>
      <c r="D148" s="233">
        <v>1702.9</v>
      </c>
      <c r="E148" s="233">
        <v>1729.66948</v>
      </c>
      <c r="F148" s="233">
        <v>1712.2963199999999</v>
      </c>
      <c r="G148" s="658">
        <f t="shared" si="39"/>
        <v>98.995579201640297</v>
      </c>
      <c r="H148" s="233">
        <f t="shared" si="40"/>
        <v>17.373160000000098</v>
      </c>
    </row>
    <row r="149" spans="1:8" ht="52.8" x14ac:dyDescent="0.25">
      <c r="A149" s="7" t="s">
        <v>195</v>
      </c>
      <c r="B149" s="7"/>
      <c r="C149" s="265" t="s">
        <v>194</v>
      </c>
      <c r="D149" s="233">
        <f>D151+D152+D153</f>
        <v>4606.1000000000004</v>
      </c>
      <c r="E149" s="233">
        <f>E151+E152+E153+E150</f>
        <v>4606.0999999999995</v>
      </c>
      <c r="F149" s="233">
        <f>F151+F152+F153+F150</f>
        <v>4519.1495500000001</v>
      </c>
      <c r="G149" s="658">
        <f t="shared" si="39"/>
        <v>98.112276112112212</v>
      </c>
      <c r="H149" s="233">
        <f t="shared" si="40"/>
        <v>86.950449999999364</v>
      </c>
    </row>
    <row r="150" spans="1:8" ht="26.4" x14ac:dyDescent="0.25">
      <c r="A150" s="342"/>
      <c r="B150" s="7" t="s">
        <v>12</v>
      </c>
      <c r="C150" s="6" t="s">
        <v>11</v>
      </c>
      <c r="D150" s="676"/>
      <c r="E150" s="676">
        <v>2574.6210999999998</v>
      </c>
      <c r="F150" s="676">
        <v>2574.6210999999998</v>
      </c>
      <c r="G150" s="677"/>
      <c r="H150" s="676"/>
    </row>
    <row r="151" spans="1:8" x14ac:dyDescent="0.25">
      <c r="A151" s="7"/>
      <c r="B151" s="7" t="s">
        <v>79</v>
      </c>
      <c r="C151" s="138" t="s">
        <v>78</v>
      </c>
      <c r="D151" s="233">
        <v>0</v>
      </c>
      <c r="E151" s="233">
        <v>115.35054</v>
      </c>
      <c r="F151" s="233">
        <v>96.377610000000004</v>
      </c>
      <c r="G151" s="658">
        <f t="shared" si="39"/>
        <v>83.551936557904284</v>
      </c>
      <c r="H151" s="233">
        <f t="shared" si="40"/>
        <v>18.972929999999991</v>
      </c>
    </row>
    <row r="152" spans="1:8" ht="26.4" x14ac:dyDescent="0.25">
      <c r="A152" s="7"/>
      <c r="B152" s="7" t="s">
        <v>57</v>
      </c>
      <c r="C152" s="138" t="s">
        <v>56</v>
      </c>
      <c r="D152" s="233">
        <v>4606.1000000000004</v>
      </c>
      <c r="E152" s="233">
        <v>1820.9029399999999</v>
      </c>
      <c r="F152" s="233">
        <v>1773.8024</v>
      </c>
      <c r="G152" s="658">
        <f t="shared" si="39"/>
        <v>97.413341537028884</v>
      </c>
      <c r="H152" s="233">
        <f t="shared" si="40"/>
        <v>47.10053999999991</v>
      </c>
    </row>
    <row r="153" spans="1:8" x14ac:dyDescent="0.25">
      <c r="A153" s="7"/>
      <c r="B153" s="7" t="s">
        <v>22</v>
      </c>
      <c r="C153" s="138" t="s">
        <v>21</v>
      </c>
      <c r="D153" s="234">
        <v>0</v>
      </c>
      <c r="E153" s="234">
        <v>95.22542</v>
      </c>
      <c r="F153" s="234">
        <v>74.348439999999997</v>
      </c>
      <c r="G153" s="659">
        <f t="shared" si="39"/>
        <v>78.076253168534194</v>
      </c>
      <c r="H153" s="234">
        <f t="shared" si="40"/>
        <v>20.876980000000003</v>
      </c>
    </row>
    <row r="154" spans="1:8" x14ac:dyDescent="0.25">
      <c r="A154" s="31" t="s">
        <v>85</v>
      </c>
      <c r="B154" s="31"/>
      <c r="C154" s="137" t="s">
        <v>84</v>
      </c>
      <c r="D154" s="237">
        <f>D155+D160</f>
        <v>22040.151800000003</v>
      </c>
      <c r="E154" s="237">
        <f t="shared" ref="E154:F154" si="77">E155+E160</f>
        <v>22905.766599999999</v>
      </c>
      <c r="F154" s="237">
        <f t="shared" si="77"/>
        <v>21615.609049999999</v>
      </c>
      <c r="G154" s="663">
        <f t="shared" si="39"/>
        <v>94.367542582050064</v>
      </c>
      <c r="H154" s="237">
        <f t="shared" si="40"/>
        <v>1290.1575499999999</v>
      </c>
    </row>
    <row r="155" spans="1:8" ht="39.6" x14ac:dyDescent="0.25">
      <c r="A155" s="190" t="s">
        <v>193</v>
      </c>
      <c r="B155" s="190"/>
      <c r="C155" s="200" t="s">
        <v>192</v>
      </c>
      <c r="D155" s="238">
        <f>D156+D158</f>
        <v>278.2</v>
      </c>
      <c r="E155" s="238">
        <f t="shared" ref="E155:F155" si="78">E156+E158</f>
        <v>278.2</v>
      </c>
      <c r="F155" s="238">
        <f t="shared" si="78"/>
        <v>278.2</v>
      </c>
      <c r="G155" s="664">
        <f t="shared" si="39"/>
        <v>100</v>
      </c>
      <c r="H155" s="238">
        <f t="shared" si="40"/>
        <v>0</v>
      </c>
    </row>
    <row r="156" spans="1:8" ht="26.4" x14ac:dyDescent="0.25">
      <c r="A156" s="73" t="s">
        <v>191</v>
      </c>
      <c r="B156" s="73"/>
      <c r="C156" s="72" t="s">
        <v>190</v>
      </c>
      <c r="D156" s="233">
        <f>D157</f>
        <v>175</v>
      </c>
      <c r="E156" s="233">
        <f t="shared" ref="E156:F156" si="79">E157</f>
        <v>175</v>
      </c>
      <c r="F156" s="233">
        <f t="shared" si="79"/>
        <v>175</v>
      </c>
      <c r="G156" s="658">
        <f t="shared" ref="G156:G209" si="80">F156/E156*100</f>
        <v>100</v>
      </c>
      <c r="H156" s="233">
        <f t="shared" ref="H156:H209" si="81">E156-F156</f>
        <v>0</v>
      </c>
    </row>
    <row r="157" spans="1:8" ht="26.4" x14ac:dyDescent="0.25">
      <c r="A157" s="73"/>
      <c r="B157" s="73" t="s">
        <v>57</v>
      </c>
      <c r="C157" s="72" t="s">
        <v>56</v>
      </c>
      <c r="D157" s="233">
        <v>175</v>
      </c>
      <c r="E157" s="233">
        <v>175</v>
      </c>
      <c r="F157" s="233">
        <v>175</v>
      </c>
      <c r="G157" s="658">
        <f t="shared" si="80"/>
        <v>100</v>
      </c>
      <c r="H157" s="233">
        <f t="shared" si="81"/>
        <v>0</v>
      </c>
    </row>
    <row r="158" spans="1:8" ht="39.6" x14ac:dyDescent="0.25">
      <c r="A158" s="7" t="s">
        <v>189</v>
      </c>
      <c r="B158" s="7"/>
      <c r="C158" s="138" t="s">
        <v>188</v>
      </c>
      <c r="D158" s="233">
        <f>D159</f>
        <v>103.2</v>
      </c>
      <c r="E158" s="233">
        <f t="shared" ref="E158:F158" si="82">E159</f>
        <v>103.2</v>
      </c>
      <c r="F158" s="233">
        <f t="shared" si="82"/>
        <v>103.2</v>
      </c>
      <c r="G158" s="658">
        <f t="shared" si="80"/>
        <v>100</v>
      </c>
      <c r="H158" s="233">
        <f t="shared" si="81"/>
        <v>0</v>
      </c>
    </row>
    <row r="159" spans="1:8" ht="26.4" x14ac:dyDescent="0.25">
      <c r="A159" s="7"/>
      <c r="B159" s="73" t="s">
        <v>57</v>
      </c>
      <c r="C159" s="72" t="s">
        <v>56</v>
      </c>
      <c r="D159" s="233">
        <v>103.2</v>
      </c>
      <c r="E159" s="233">
        <v>103.2</v>
      </c>
      <c r="F159" s="233">
        <v>103.2</v>
      </c>
      <c r="G159" s="658">
        <f t="shared" si="80"/>
        <v>100</v>
      </c>
      <c r="H159" s="233">
        <f t="shared" si="81"/>
        <v>0</v>
      </c>
    </row>
    <row r="160" spans="1:8" ht="39.6" x14ac:dyDescent="0.25">
      <c r="A160" s="190" t="s">
        <v>83</v>
      </c>
      <c r="B160" s="190"/>
      <c r="C160" s="200" t="s">
        <v>82</v>
      </c>
      <c r="D160" s="238">
        <f>D161+D164</f>
        <v>21761.951800000003</v>
      </c>
      <c r="E160" s="238">
        <f t="shared" ref="E160:F160" si="83">E161+E164</f>
        <v>22627.566599999998</v>
      </c>
      <c r="F160" s="238">
        <f t="shared" si="83"/>
        <v>21337.409049999998</v>
      </c>
      <c r="G160" s="664">
        <f t="shared" si="80"/>
        <v>94.298292994528182</v>
      </c>
      <c r="H160" s="238">
        <f t="shared" si="81"/>
        <v>1290.1575499999999</v>
      </c>
    </row>
    <row r="161" spans="1:8" ht="39.6" x14ac:dyDescent="0.25">
      <c r="A161" s="7" t="s">
        <v>170</v>
      </c>
      <c r="B161" s="7"/>
      <c r="C161" s="138" t="s">
        <v>169</v>
      </c>
      <c r="D161" s="233">
        <f>D162+D163</f>
        <v>6801.1808000000001</v>
      </c>
      <c r="E161" s="233">
        <f t="shared" ref="E161:F161" si="84">E162+E163</f>
        <v>7040.5955999999996</v>
      </c>
      <c r="F161" s="233">
        <f t="shared" si="84"/>
        <v>5750.4380499999997</v>
      </c>
      <c r="G161" s="658">
        <f t="shared" si="80"/>
        <v>81.675448736183625</v>
      </c>
      <c r="H161" s="233">
        <f t="shared" si="81"/>
        <v>1290.1575499999999</v>
      </c>
    </row>
    <row r="162" spans="1:8" x14ac:dyDescent="0.25">
      <c r="A162" s="7"/>
      <c r="B162" s="7" t="s">
        <v>79</v>
      </c>
      <c r="C162" s="138" t="s">
        <v>78</v>
      </c>
      <c r="D162" s="233">
        <v>0</v>
      </c>
      <c r="E162" s="233">
        <v>0</v>
      </c>
      <c r="F162" s="233">
        <v>0</v>
      </c>
      <c r="G162" s="658" t="e">
        <f t="shared" si="80"/>
        <v>#DIV/0!</v>
      </c>
      <c r="H162" s="233">
        <f t="shared" si="81"/>
        <v>0</v>
      </c>
    </row>
    <row r="163" spans="1:8" ht="26.4" x14ac:dyDescent="0.25">
      <c r="A163" s="7"/>
      <c r="B163" s="73" t="s">
        <v>57</v>
      </c>
      <c r="C163" s="72" t="s">
        <v>56</v>
      </c>
      <c r="D163" s="233">
        <v>6801.1808000000001</v>
      </c>
      <c r="E163" s="233">
        <v>7040.5955999999996</v>
      </c>
      <c r="F163" s="233">
        <v>5750.4380499999997</v>
      </c>
      <c r="G163" s="658">
        <f t="shared" si="80"/>
        <v>81.675448736183625</v>
      </c>
      <c r="H163" s="233">
        <f t="shared" si="81"/>
        <v>1290.1575499999999</v>
      </c>
    </row>
    <row r="164" spans="1:8" ht="79.2" x14ac:dyDescent="0.25">
      <c r="A164" s="7" t="s">
        <v>81</v>
      </c>
      <c r="B164" s="7"/>
      <c r="C164" s="138" t="s">
        <v>168</v>
      </c>
      <c r="D164" s="233">
        <f>D165+D166</f>
        <v>14960.771000000001</v>
      </c>
      <c r="E164" s="233">
        <f t="shared" ref="E164:F164" si="85">E165+E166</f>
        <v>15586.971</v>
      </c>
      <c r="F164" s="233">
        <f t="shared" si="85"/>
        <v>15586.971</v>
      </c>
      <c r="G164" s="658">
        <f t="shared" si="80"/>
        <v>100</v>
      </c>
      <c r="H164" s="233">
        <f t="shared" si="81"/>
        <v>0</v>
      </c>
    </row>
    <row r="165" spans="1:8" x14ac:dyDescent="0.25">
      <c r="A165" s="7"/>
      <c r="B165" s="7" t="s">
        <v>79</v>
      </c>
      <c r="C165" s="138" t="s">
        <v>78</v>
      </c>
      <c r="D165" s="233">
        <v>14960.771000000001</v>
      </c>
      <c r="E165" s="233">
        <v>7216.1</v>
      </c>
      <c r="F165" s="233">
        <v>7216.1</v>
      </c>
      <c r="G165" s="658">
        <f t="shared" si="80"/>
        <v>100</v>
      </c>
      <c r="H165" s="233">
        <f t="shared" si="81"/>
        <v>0</v>
      </c>
    </row>
    <row r="166" spans="1:8" ht="26.4" x14ac:dyDescent="0.25">
      <c r="A166" s="7"/>
      <c r="B166" s="7" t="s">
        <v>57</v>
      </c>
      <c r="C166" s="138" t="s">
        <v>56</v>
      </c>
      <c r="D166" s="234">
        <v>0</v>
      </c>
      <c r="E166" s="234">
        <v>8370.8709999999992</v>
      </c>
      <c r="F166" s="234">
        <v>8370.8709999999992</v>
      </c>
      <c r="G166" s="659">
        <f t="shared" si="80"/>
        <v>100</v>
      </c>
      <c r="H166" s="234">
        <f t="shared" si="81"/>
        <v>0</v>
      </c>
    </row>
    <row r="167" spans="1:8" ht="26.4" x14ac:dyDescent="0.25">
      <c r="A167" s="31" t="s">
        <v>220</v>
      </c>
      <c r="B167" s="31"/>
      <c r="C167" s="137" t="s">
        <v>219</v>
      </c>
      <c r="D167" s="231">
        <f>D168+D175+D180</f>
        <v>93353.334869999991</v>
      </c>
      <c r="E167" s="231">
        <f>E168+E175+E180</f>
        <v>95027.977299999999</v>
      </c>
      <c r="F167" s="231">
        <f>F168+F175+F180</f>
        <v>95027.84457999999</v>
      </c>
      <c r="G167" s="656">
        <f t="shared" si="80"/>
        <v>99.999860335867623</v>
      </c>
      <c r="H167" s="231">
        <f t="shared" si="81"/>
        <v>0.13272000000870321</v>
      </c>
    </row>
    <row r="168" spans="1:8" ht="52.8" x14ac:dyDescent="0.25">
      <c r="A168" s="197" t="s">
        <v>218</v>
      </c>
      <c r="B168" s="197"/>
      <c r="C168" s="200" t="s">
        <v>217</v>
      </c>
      <c r="D168" s="232">
        <f>D169+D171+D173</f>
        <v>6898.5999999999995</v>
      </c>
      <c r="E168" s="232">
        <f t="shared" ref="E168:F168" si="86">E169+E171+E173</f>
        <v>6898.5999999999995</v>
      </c>
      <c r="F168" s="232">
        <f t="shared" si="86"/>
        <v>6898.4672799999998</v>
      </c>
      <c r="G168" s="657">
        <f t="shared" si="80"/>
        <v>99.998076131388984</v>
      </c>
      <c r="H168" s="232">
        <f t="shared" si="81"/>
        <v>0.13271999999960826</v>
      </c>
    </row>
    <row r="169" spans="1:8" ht="39.6" x14ac:dyDescent="0.25">
      <c r="A169" s="322" t="s">
        <v>823</v>
      </c>
      <c r="B169" s="312"/>
      <c r="C169" s="313" t="s">
        <v>824</v>
      </c>
      <c r="D169" s="280">
        <f>D170</f>
        <v>1389.5</v>
      </c>
      <c r="E169" s="280">
        <f t="shared" ref="E169:F169" si="87">E170</f>
        <v>1389.5</v>
      </c>
      <c r="F169" s="280">
        <f t="shared" si="87"/>
        <v>1389.43956</v>
      </c>
      <c r="G169" s="665">
        <f t="shared" si="80"/>
        <v>99.995650233897081</v>
      </c>
      <c r="H169" s="280">
        <f t="shared" si="81"/>
        <v>6.0439999999971405E-2</v>
      </c>
    </row>
    <row r="170" spans="1:8" ht="26.4" x14ac:dyDescent="0.25">
      <c r="A170" s="323"/>
      <c r="B170" s="312" t="s">
        <v>57</v>
      </c>
      <c r="C170" s="313" t="s">
        <v>56</v>
      </c>
      <c r="D170" s="280">
        <v>1389.5</v>
      </c>
      <c r="E170" s="280">
        <v>1389.5</v>
      </c>
      <c r="F170" s="280">
        <v>1389.43956</v>
      </c>
      <c r="G170" s="665">
        <f t="shared" si="80"/>
        <v>99.995650233897081</v>
      </c>
      <c r="H170" s="280">
        <f t="shared" si="81"/>
        <v>6.0439999999971405E-2</v>
      </c>
    </row>
    <row r="171" spans="1:8" ht="79.2" x14ac:dyDescent="0.25">
      <c r="A171" s="324" t="s">
        <v>825</v>
      </c>
      <c r="B171" s="314"/>
      <c r="C171" s="315" t="s">
        <v>826</v>
      </c>
      <c r="D171" s="280">
        <f t="shared" ref="D171:F171" si="88">D172</f>
        <v>4909.2</v>
      </c>
      <c r="E171" s="280">
        <f t="shared" si="88"/>
        <v>4909.2</v>
      </c>
      <c r="F171" s="280">
        <f t="shared" si="88"/>
        <v>4909.2</v>
      </c>
      <c r="G171" s="665">
        <f t="shared" si="80"/>
        <v>100</v>
      </c>
      <c r="H171" s="280">
        <f t="shared" si="81"/>
        <v>0</v>
      </c>
    </row>
    <row r="172" spans="1:8" ht="26.4" x14ac:dyDescent="0.25">
      <c r="A172" s="312"/>
      <c r="B172" s="312" t="s">
        <v>57</v>
      </c>
      <c r="C172" s="313" t="s">
        <v>56</v>
      </c>
      <c r="D172" s="337">
        <v>4909.2</v>
      </c>
      <c r="E172" s="337">
        <v>4909.2</v>
      </c>
      <c r="F172" s="337">
        <v>4909.2</v>
      </c>
      <c r="G172" s="666">
        <f t="shared" si="80"/>
        <v>100</v>
      </c>
      <c r="H172" s="337">
        <f t="shared" si="81"/>
        <v>0</v>
      </c>
    </row>
    <row r="173" spans="1:8" ht="26.4" x14ac:dyDescent="0.25">
      <c r="A173" s="7" t="s">
        <v>835</v>
      </c>
      <c r="B173" s="278"/>
      <c r="C173" s="279" t="s">
        <v>834</v>
      </c>
      <c r="D173" s="337">
        <f t="shared" ref="D173:F173" si="89">D174</f>
        <v>599.9</v>
      </c>
      <c r="E173" s="337">
        <f t="shared" si="89"/>
        <v>599.9</v>
      </c>
      <c r="F173" s="337">
        <f t="shared" si="89"/>
        <v>599.82772</v>
      </c>
      <c r="G173" s="666">
        <f t="shared" si="80"/>
        <v>99.987951325220877</v>
      </c>
      <c r="H173" s="337">
        <f t="shared" si="81"/>
        <v>7.2279999999977917E-2</v>
      </c>
    </row>
    <row r="174" spans="1:8" ht="26.4" x14ac:dyDescent="0.25">
      <c r="A174" s="278"/>
      <c r="B174" s="278" t="s">
        <v>57</v>
      </c>
      <c r="C174" s="281" t="s">
        <v>56</v>
      </c>
      <c r="D174" s="337">
        <v>599.9</v>
      </c>
      <c r="E174" s="337">
        <v>599.9</v>
      </c>
      <c r="F174" s="337">
        <v>599.82772</v>
      </c>
      <c r="G174" s="666">
        <f t="shared" si="80"/>
        <v>99.987951325220877</v>
      </c>
      <c r="H174" s="337">
        <f t="shared" si="81"/>
        <v>7.2279999999977917E-2</v>
      </c>
    </row>
    <row r="175" spans="1:8" ht="26.4" x14ac:dyDescent="0.25">
      <c r="A175" s="285" t="s">
        <v>807</v>
      </c>
      <c r="B175" s="294"/>
      <c r="C175" s="295" t="s">
        <v>786</v>
      </c>
      <c r="D175" s="310">
        <f t="shared" ref="D175:F175" si="90">+D176</f>
        <v>18400</v>
      </c>
      <c r="E175" s="310">
        <f t="shared" si="90"/>
        <v>18400</v>
      </c>
      <c r="F175" s="310">
        <f t="shared" si="90"/>
        <v>18400</v>
      </c>
      <c r="G175" s="667">
        <f t="shared" si="80"/>
        <v>100</v>
      </c>
      <c r="H175" s="310">
        <f t="shared" si="81"/>
        <v>0</v>
      </c>
    </row>
    <row r="176" spans="1:8" ht="52.8" x14ac:dyDescent="0.25">
      <c r="A176" s="278" t="s">
        <v>808</v>
      </c>
      <c r="B176" s="278"/>
      <c r="C176" s="321" t="s">
        <v>216</v>
      </c>
      <c r="D176" s="308">
        <f t="shared" ref="D176:F176" si="91">D177</f>
        <v>18400</v>
      </c>
      <c r="E176" s="308">
        <f t="shared" si="91"/>
        <v>18400</v>
      </c>
      <c r="F176" s="308">
        <f t="shared" si="91"/>
        <v>18400</v>
      </c>
      <c r="G176" s="668">
        <f t="shared" si="80"/>
        <v>100</v>
      </c>
      <c r="H176" s="308">
        <f t="shared" si="81"/>
        <v>0</v>
      </c>
    </row>
    <row r="177" spans="1:8" ht="26.4" x14ac:dyDescent="0.25">
      <c r="A177" s="278"/>
      <c r="B177" s="278" t="s">
        <v>57</v>
      </c>
      <c r="C177" s="281" t="s">
        <v>56</v>
      </c>
      <c r="D177" s="308">
        <f t="shared" ref="D177:F177" si="92">D178+D179</f>
        <v>18400</v>
      </c>
      <c r="E177" s="308">
        <f t="shared" si="92"/>
        <v>18400</v>
      </c>
      <c r="F177" s="308">
        <f t="shared" si="92"/>
        <v>18400</v>
      </c>
      <c r="G177" s="668">
        <f t="shared" si="80"/>
        <v>100</v>
      </c>
      <c r="H177" s="308">
        <f t="shared" si="81"/>
        <v>0</v>
      </c>
    </row>
    <row r="178" spans="1:8" x14ac:dyDescent="0.25">
      <c r="A178" s="278"/>
      <c r="B178" s="278"/>
      <c r="C178" s="281" t="s">
        <v>157</v>
      </c>
      <c r="D178" s="308">
        <v>16560</v>
      </c>
      <c r="E178" s="308">
        <v>16560</v>
      </c>
      <c r="F178" s="308">
        <v>16560</v>
      </c>
      <c r="G178" s="668">
        <f t="shared" si="80"/>
        <v>100</v>
      </c>
      <c r="H178" s="308">
        <f t="shared" si="81"/>
        <v>0</v>
      </c>
    </row>
    <row r="179" spans="1:8" x14ac:dyDescent="0.25">
      <c r="A179" s="278"/>
      <c r="B179" s="278"/>
      <c r="C179" s="281" t="s">
        <v>156</v>
      </c>
      <c r="D179" s="308">
        <v>1840</v>
      </c>
      <c r="E179" s="308">
        <v>1840</v>
      </c>
      <c r="F179" s="308">
        <v>1840</v>
      </c>
      <c r="G179" s="668">
        <f t="shared" si="80"/>
        <v>100</v>
      </c>
      <c r="H179" s="308">
        <f t="shared" si="81"/>
        <v>0</v>
      </c>
    </row>
    <row r="180" spans="1:8" ht="26.4" x14ac:dyDescent="0.25">
      <c r="A180" s="285" t="s">
        <v>809</v>
      </c>
      <c r="B180" s="294"/>
      <c r="C180" s="289" t="s">
        <v>810</v>
      </c>
      <c r="D180" s="310">
        <f t="shared" ref="D180:F180" si="93">D181</f>
        <v>68054.73487</v>
      </c>
      <c r="E180" s="310">
        <f t="shared" si="93"/>
        <v>69729.377299999993</v>
      </c>
      <c r="F180" s="310">
        <f t="shared" si="93"/>
        <v>69729.377299999993</v>
      </c>
      <c r="G180" s="667">
        <f t="shared" si="80"/>
        <v>100</v>
      </c>
      <c r="H180" s="310">
        <f t="shared" si="81"/>
        <v>0</v>
      </c>
    </row>
    <row r="181" spans="1:8" ht="26.4" x14ac:dyDescent="0.25">
      <c r="A181" s="297" t="s">
        <v>811</v>
      </c>
      <c r="B181" s="293"/>
      <c r="C181" s="298" t="s">
        <v>812</v>
      </c>
      <c r="D181" s="308">
        <f t="shared" ref="D181:F181" si="94">D182</f>
        <v>68054.73487</v>
      </c>
      <c r="E181" s="308">
        <f t="shared" si="94"/>
        <v>69729.377299999993</v>
      </c>
      <c r="F181" s="308">
        <f t="shared" si="94"/>
        <v>69729.377299999993</v>
      </c>
      <c r="G181" s="668">
        <f t="shared" si="80"/>
        <v>100</v>
      </c>
      <c r="H181" s="308">
        <f t="shared" si="81"/>
        <v>0</v>
      </c>
    </row>
    <row r="182" spans="1:8" ht="26.4" x14ac:dyDescent="0.25">
      <c r="A182" s="293"/>
      <c r="B182" s="278" t="s">
        <v>57</v>
      </c>
      <c r="C182" s="281" t="s">
        <v>56</v>
      </c>
      <c r="D182" s="308">
        <f t="shared" ref="D182:F182" si="95">D184+D185+D183</f>
        <v>68054.73487</v>
      </c>
      <c r="E182" s="308">
        <f t="shared" si="95"/>
        <v>69729.377299999993</v>
      </c>
      <c r="F182" s="308">
        <f t="shared" si="95"/>
        <v>69729.377299999993</v>
      </c>
      <c r="G182" s="668">
        <f t="shared" si="80"/>
        <v>100</v>
      </c>
      <c r="H182" s="308">
        <f t="shared" si="81"/>
        <v>0</v>
      </c>
    </row>
    <row r="183" spans="1:8" x14ac:dyDescent="0.25">
      <c r="A183" s="293"/>
      <c r="B183" s="278"/>
      <c r="C183" s="281" t="s">
        <v>697</v>
      </c>
      <c r="D183" s="308">
        <v>48355.3</v>
      </c>
      <c r="E183" s="308">
        <v>48355.3</v>
      </c>
      <c r="F183" s="308">
        <v>48355.3</v>
      </c>
      <c r="G183" s="668">
        <f t="shared" si="80"/>
        <v>100</v>
      </c>
      <c r="H183" s="308">
        <f t="shared" si="81"/>
        <v>0</v>
      </c>
    </row>
    <row r="184" spans="1:8" x14ac:dyDescent="0.25">
      <c r="A184" s="293"/>
      <c r="B184" s="278"/>
      <c r="C184" s="281" t="s">
        <v>222</v>
      </c>
      <c r="D184" s="309">
        <v>14443.79091</v>
      </c>
      <c r="E184" s="309">
        <v>16118.43334</v>
      </c>
      <c r="F184" s="309">
        <v>16118.43334</v>
      </c>
      <c r="G184" s="669">
        <f t="shared" si="80"/>
        <v>100</v>
      </c>
      <c r="H184" s="309">
        <f t="shared" si="81"/>
        <v>0</v>
      </c>
    </row>
    <row r="185" spans="1:8" x14ac:dyDescent="0.25">
      <c r="A185" s="293"/>
      <c r="B185" s="278"/>
      <c r="C185" s="281" t="s">
        <v>77</v>
      </c>
      <c r="D185" s="308">
        <f>5119.13372+136.51024</f>
        <v>5255.6439599999994</v>
      </c>
      <c r="E185" s="308">
        <f t="shared" ref="E185:F185" si="96">5119.13372+136.51024</f>
        <v>5255.6439599999994</v>
      </c>
      <c r="F185" s="308">
        <f t="shared" si="96"/>
        <v>5255.6439599999994</v>
      </c>
      <c r="G185" s="668">
        <f t="shared" si="80"/>
        <v>100</v>
      </c>
      <c r="H185" s="308">
        <f t="shared" si="81"/>
        <v>0</v>
      </c>
    </row>
    <row r="186" spans="1:8" ht="26.4" x14ac:dyDescent="0.25">
      <c r="A186" s="31" t="s">
        <v>187</v>
      </c>
      <c r="B186" s="31"/>
      <c r="C186" s="137" t="s">
        <v>596</v>
      </c>
      <c r="D186" s="231">
        <f>D187</f>
        <v>53.3</v>
      </c>
      <c r="E186" s="231">
        <f t="shared" ref="E186:F188" si="97">E187</f>
        <v>53.3</v>
      </c>
      <c r="F186" s="231">
        <f t="shared" si="97"/>
        <v>53.3</v>
      </c>
      <c r="G186" s="656">
        <f t="shared" si="80"/>
        <v>100</v>
      </c>
      <c r="H186" s="231">
        <f t="shared" si="81"/>
        <v>0</v>
      </c>
    </row>
    <row r="187" spans="1:8" ht="26.4" x14ac:dyDescent="0.25">
      <c r="A187" s="190" t="s">
        <v>185</v>
      </c>
      <c r="B187" s="190"/>
      <c r="C187" s="200" t="s">
        <v>184</v>
      </c>
      <c r="D187" s="232">
        <f>D188</f>
        <v>53.3</v>
      </c>
      <c r="E187" s="232">
        <f t="shared" si="97"/>
        <v>53.3</v>
      </c>
      <c r="F187" s="232">
        <f t="shared" si="97"/>
        <v>53.3</v>
      </c>
      <c r="G187" s="657">
        <f t="shared" si="80"/>
        <v>100</v>
      </c>
      <c r="H187" s="232">
        <f t="shared" si="81"/>
        <v>0</v>
      </c>
    </row>
    <row r="188" spans="1:8" ht="39.6" x14ac:dyDescent="0.25">
      <c r="A188" s="7" t="s">
        <v>183</v>
      </c>
      <c r="B188" s="7"/>
      <c r="C188" s="138" t="s">
        <v>182</v>
      </c>
      <c r="D188" s="233">
        <f>D189</f>
        <v>53.3</v>
      </c>
      <c r="E188" s="233">
        <f t="shared" si="97"/>
        <v>53.3</v>
      </c>
      <c r="F188" s="233">
        <f t="shared" si="97"/>
        <v>53.3</v>
      </c>
      <c r="G188" s="658">
        <f t="shared" si="80"/>
        <v>100</v>
      </c>
      <c r="H188" s="233">
        <f t="shared" si="81"/>
        <v>0</v>
      </c>
    </row>
    <row r="189" spans="1:8" ht="26.4" x14ac:dyDescent="0.25">
      <c r="A189" s="7"/>
      <c r="B189" s="7" t="s">
        <v>57</v>
      </c>
      <c r="C189" s="138" t="s">
        <v>56</v>
      </c>
      <c r="D189" s="233">
        <v>53.3</v>
      </c>
      <c r="E189" s="233">
        <v>53.3</v>
      </c>
      <c r="F189" s="233">
        <v>53.3</v>
      </c>
      <c r="G189" s="658">
        <f t="shared" si="80"/>
        <v>100</v>
      </c>
      <c r="H189" s="233">
        <f t="shared" si="81"/>
        <v>0</v>
      </c>
    </row>
    <row r="190" spans="1:8" ht="39.6" x14ac:dyDescent="0.25">
      <c r="A190" s="428" t="s">
        <v>874</v>
      </c>
      <c r="B190" s="428"/>
      <c r="C190" s="438" t="s">
        <v>875</v>
      </c>
      <c r="D190" s="430">
        <f t="shared" ref="D190:F191" si="98">D191</f>
        <v>0</v>
      </c>
      <c r="E190" s="430">
        <f t="shared" si="98"/>
        <v>30</v>
      </c>
      <c r="F190" s="430">
        <f t="shared" si="98"/>
        <v>30</v>
      </c>
      <c r="G190" s="439">
        <f t="shared" si="80"/>
        <v>100</v>
      </c>
      <c r="H190" s="231">
        <f t="shared" ref="H190:H193" si="99">E190-F190</f>
        <v>0</v>
      </c>
    </row>
    <row r="191" spans="1:8" ht="39.6" x14ac:dyDescent="0.25">
      <c r="A191" s="190" t="s">
        <v>876</v>
      </c>
      <c r="B191" s="190"/>
      <c r="C191" s="200" t="s">
        <v>877</v>
      </c>
      <c r="D191" s="232">
        <f t="shared" si="98"/>
        <v>0</v>
      </c>
      <c r="E191" s="232">
        <f t="shared" si="98"/>
        <v>30</v>
      </c>
      <c r="F191" s="232">
        <f t="shared" si="98"/>
        <v>30</v>
      </c>
      <c r="G191" s="657">
        <f t="shared" si="80"/>
        <v>100</v>
      </c>
      <c r="H191" s="232">
        <f t="shared" si="99"/>
        <v>0</v>
      </c>
    </row>
    <row r="192" spans="1:8" ht="39.6" x14ac:dyDescent="0.25">
      <c r="A192" s="342" t="s">
        <v>878</v>
      </c>
      <c r="B192" s="342"/>
      <c r="C192" s="391" t="s">
        <v>877</v>
      </c>
      <c r="D192" s="680">
        <v>0</v>
      </c>
      <c r="E192" s="680">
        <v>30</v>
      </c>
      <c r="F192" s="680">
        <v>30</v>
      </c>
      <c r="G192" s="681">
        <f t="shared" si="80"/>
        <v>100</v>
      </c>
      <c r="H192" s="233">
        <f t="shared" si="99"/>
        <v>0</v>
      </c>
    </row>
    <row r="193" spans="1:8" ht="26.4" x14ac:dyDescent="0.25">
      <c r="A193" s="342"/>
      <c r="B193" s="342" t="s">
        <v>57</v>
      </c>
      <c r="C193" s="391" t="s">
        <v>56</v>
      </c>
      <c r="D193" s="680">
        <v>0</v>
      </c>
      <c r="E193" s="680">
        <v>30</v>
      </c>
      <c r="F193" s="680">
        <v>30</v>
      </c>
      <c r="G193" s="681">
        <f t="shared" si="80"/>
        <v>100</v>
      </c>
      <c r="H193" s="233">
        <f t="shared" si="99"/>
        <v>0</v>
      </c>
    </row>
    <row r="194" spans="1:8" s="1" customFormat="1" ht="53.4" x14ac:dyDescent="0.3">
      <c r="A194" s="206" t="s">
        <v>256</v>
      </c>
      <c r="B194" s="206"/>
      <c r="C194" s="209" t="s">
        <v>255</v>
      </c>
      <c r="D194" s="230">
        <f>D195+D203</f>
        <v>6749.3983600000001</v>
      </c>
      <c r="E194" s="230">
        <f t="shared" ref="E194:F194" si="100">E195+E203</f>
        <v>5980.0812700000006</v>
      </c>
      <c r="F194" s="230">
        <f t="shared" si="100"/>
        <v>4810.5467200000003</v>
      </c>
      <c r="G194" s="655">
        <f t="shared" si="80"/>
        <v>80.442831841313762</v>
      </c>
      <c r="H194" s="230">
        <f t="shared" si="81"/>
        <v>1169.5345500000003</v>
      </c>
    </row>
    <row r="195" spans="1:8" s="1" customFormat="1" ht="27" x14ac:dyDescent="0.3">
      <c r="A195" s="190" t="s">
        <v>265</v>
      </c>
      <c r="B195" s="190"/>
      <c r="C195" s="191" t="s">
        <v>264</v>
      </c>
      <c r="D195" s="232">
        <f>D196+D198</f>
        <v>6564.1983600000003</v>
      </c>
      <c r="E195" s="232">
        <f t="shared" ref="E195:F195" si="101">E196+E198</f>
        <v>5765.0823600000003</v>
      </c>
      <c r="F195" s="232">
        <f t="shared" si="101"/>
        <v>4633.2520000000004</v>
      </c>
      <c r="G195" s="657">
        <f t="shared" si="80"/>
        <v>80.367490187945904</v>
      </c>
      <c r="H195" s="232">
        <f t="shared" si="81"/>
        <v>1131.8303599999999</v>
      </c>
    </row>
    <row r="196" spans="1:8" s="1" customFormat="1" ht="14.4" x14ac:dyDescent="0.3">
      <c r="A196" s="7" t="s">
        <v>263</v>
      </c>
      <c r="B196" s="7"/>
      <c r="C196" s="6" t="s">
        <v>771</v>
      </c>
      <c r="D196" s="233">
        <f>D197</f>
        <v>5012.1400000000003</v>
      </c>
      <c r="E196" s="233">
        <f t="shared" ref="E196:F196" si="102">E197</f>
        <v>2350.1</v>
      </c>
      <c r="F196" s="233">
        <f t="shared" si="102"/>
        <v>1218.2739999999999</v>
      </c>
      <c r="G196" s="658">
        <f t="shared" si="80"/>
        <v>51.839240883366664</v>
      </c>
      <c r="H196" s="233">
        <f t="shared" si="81"/>
        <v>1131.826</v>
      </c>
    </row>
    <row r="197" spans="1:8" s="1" customFormat="1" ht="14.4" x14ac:dyDescent="0.3">
      <c r="A197" s="7"/>
      <c r="B197" s="7" t="s">
        <v>79</v>
      </c>
      <c r="C197" s="6" t="s">
        <v>78</v>
      </c>
      <c r="D197" s="233">
        <v>5012.1400000000003</v>
      </c>
      <c r="E197" s="233">
        <v>2350.1</v>
      </c>
      <c r="F197" s="233">
        <v>1218.2739999999999</v>
      </c>
      <c r="G197" s="658">
        <f t="shared" si="80"/>
        <v>51.839240883366664</v>
      </c>
      <c r="H197" s="233">
        <f t="shared" si="81"/>
        <v>1131.826</v>
      </c>
    </row>
    <row r="198" spans="1:8" s="1" customFormat="1" ht="66.599999999999994" x14ac:dyDescent="0.3">
      <c r="A198" s="7" t="s">
        <v>262</v>
      </c>
      <c r="B198" s="7"/>
      <c r="C198" s="12" t="s">
        <v>261</v>
      </c>
      <c r="D198" s="233">
        <f>D199</f>
        <v>1552.05836</v>
      </c>
      <c r="E198" s="233">
        <f t="shared" ref="E198:F198" si="103">E199</f>
        <v>3414.98236</v>
      </c>
      <c r="F198" s="233">
        <f t="shared" si="103"/>
        <v>3414.9780000000001</v>
      </c>
      <c r="G198" s="658">
        <f t="shared" si="80"/>
        <v>99.999872327305368</v>
      </c>
      <c r="H198" s="233">
        <f t="shared" si="81"/>
        <v>4.3599999999059946E-3</v>
      </c>
    </row>
    <row r="199" spans="1:8" s="1" customFormat="1" ht="14.4" x14ac:dyDescent="0.3">
      <c r="A199" s="7"/>
      <c r="B199" s="7" t="s">
        <v>79</v>
      </c>
      <c r="C199" s="6" t="s">
        <v>78</v>
      </c>
      <c r="D199" s="233">
        <f>D200+D201+D202</f>
        <v>1552.05836</v>
      </c>
      <c r="E199" s="233">
        <f t="shared" ref="E199:F199" si="104">E200+E201+E202</f>
        <v>3414.98236</v>
      </c>
      <c r="F199" s="233">
        <f t="shared" si="104"/>
        <v>3414.9780000000001</v>
      </c>
      <c r="G199" s="658">
        <f t="shared" si="80"/>
        <v>99.999872327305368</v>
      </c>
      <c r="H199" s="233">
        <f t="shared" si="81"/>
        <v>4.3599999999059946E-3</v>
      </c>
    </row>
    <row r="200" spans="1:8" s="1" customFormat="1" ht="14.4" x14ac:dyDescent="0.3">
      <c r="A200" s="7"/>
      <c r="B200" s="7"/>
      <c r="C200" s="6" t="s">
        <v>109</v>
      </c>
      <c r="D200" s="233">
        <v>0</v>
      </c>
      <c r="E200" s="233">
        <v>1397.193</v>
      </c>
      <c r="F200" s="233">
        <v>1397.1896999999999</v>
      </c>
      <c r="G200" s="658">
        <f t="shared" si="80"/>
        <v>99.999763812157667</v>
      </c>
      <c r="H200" s="233">
        <f t="shared" si="81"/>
        <v>3.3000000000811269E-3</v>
      </c>
    </row>
    <row r="201" spans="1:8" s="1" customFormat="1" ht="14.4" x14ac:dyDescent="0.3">
      <c r="A201" s="7"/>
      <c r="B201" s="7"/>
      <c r="C201" s="6" t="s">
        <v>108</v>
      </c>
      <c r="D201" s="233">
        <v>0</v>
      </c>
      <c r="E201" s="233">
        <v>465.73099999999999</v>
      </c>
      <c r="F201" s="233">
        <v>465.72994</v>
      </c>
      <c r="G201" s="658">
        <f t="shared" si="80"/>
        <v>99.999772400806478</v>
      </c>
      <c r="H201" s="233">
        <f t="shared" si="81"/>
        <v>1.059999999995398E-3</v>
      </c>
    </row>
    <row r="202" spans="1:8" s="1" customFormat="1" ht="14.4" x14ac:dyDescent="0.3">
      <c r="A202" s="7"/>
      <c r="B202" s="7"/>
      <c r="C202" s="6" t="s">
        <v>106</v>
      </c>
      <c r="D202" s="233">
        <v>1552.05836</v>
      </c>
      <c r="E202" s="233">
        <v>1552.05836</v>
      </c>
      <c r="F202" s="233">
        <v>1552.05836</v>
      </c>
      <c r="G202" s="658">
        <f t="shared" si="80"/>
        <v>100</v>
      </c>
      <c r="H202" s="233">
        <f t="shared" si="81"/>
        <v>0</v>
      </c>
    </row>
    <row r="203" spans="1:8" s="1" customFormat="1" ht="53.4" x14ac:dyDescent="0.3">
      <c r="A203" s="190" t="s">
        <v>254</v>
      </c>
      <c r="B203" s="190"/>
      <c r="C203" s="191" t="s">
        <v>253</v>
      </c>
      <c r="D203" s="232">
        <f>D204+D206</f>
        <v>185.2</v>
      </c>
      <c r="E203" s="232">
        <f t="shared" ref="E203:F203" si="105">E204+E206</f>
        <v>214.99891</v>
      </c>
      <c r="F203" s="232">
        <f t="shared" si="105"/>
        <v>177.29471999999998</v>
      </c>
      <c r="G203" s="657">
        <f t="shared" si="80"/>
        <v>82.46307853374698</v>
      </c>
      <c r="H203" s="232">
        <f t="shared" si="81"/>
        <v>37.704190000000011</v>
      </c>
    </row>
    <row r="204" spans="1:8" s="1" customFormat="1" ht="40.200000000000003" x14ac:dyDescent="0.3">
      <c r="A204" s="7" t="s">
        <v>252</v>
      </c>
      <c r="B204" s="7"/>
      <c r="C204" s="6" t="s">
        <v>251</v>
      </c>
      <c r="D204" s="233">
        <f>D205</f>
        <v>93</v>
      </c>
      <c r="E204" s="233">
        <f t="shared" ref="E204:F204" si="106">E205</f>
        <v>120.49891</v>
      </c>
      <c r="F204" s="233">
        <f t="shared" si="106"/>
        <v>82.794719999999998</v>
      </c>
      <c r="G204" s="658">
        <f t="shared" si="80"/>
        <v>68.709932728852081</v>
      </c>
      <c r="H204" s="233">
        <f t="shared" si="81"/>
        <v>37.704189999999997</v>
      </c>
    </row>
    <row r="205" spans="1:8" s="1" customFormat="1" ht="27" x14ac:dyDescent="0.3">
      <c r="A205" s="7"/>
      <c r="B205" s="7" t="s">
        <v>12</v>
      </c>
      <c r="C205" s="6" t="s">
        <v>11</v>
      </c>
      <c r="D205" s="233">
        <v>93</v>
      </c>
      <c r="E205" s="233">
        <v>120.49891</v>
      </c>
      <c r="F205" s="233">
        <v>82.794719999999998</v>
      </c>
      <c r="G205" s="658">
        <f t="shared" si="80"/>
        <v>68.709932728852081</v>
      </c>
      <c r="H205" s="233">
        <f t="shared" si="81"/>
        <v>37.704189999999997</v>
      </c>
    </row>
    <row r="206" spans="1:8" s="1" customFormat="1" ht="66.599999999999994" x14ac:dyDescent="0.3">
      <c r="A206" s="7" t="s">
        <v>538</v>
      </c>
      <c r="B206" s="7"/>
      <c r="C206" s="6" t="s">
        <v>537</v>
      </c>
      <c r="D206" s="233">
        <f>D207+D208</f>
        <v>92.199999999999989</v>
      </c>
      <c r="E206" s="233">
        <f t="shared" ref="E206:F206" si="107">E207+E208</f>
        <v>94.5</v>
      </c>
      <c r="F206" s="233">
        <f t="shared" si="107"/>
        <v>94.5</v>
      </c>
      <c r="G206" s="658">
        <f t="shared" si="80"/>
        <v>100</v>
      </c>
      <c r="H206" s="233">
        <f t="shared" si="81"/>
        <v>0</v>
      </c>
    </row>
    <row r="207" spans="1:8" s="1" customFormat="1" ht="66.599999999999994" x14ac:dyDescent="0.3">
      <c r="A207" s="7"/>
      <c r="B207" s="7" t="s">
        <v>2</v>
      </c>
      <c r="C207" s="6" t="s">
        <v>1</v>
      </c>
      <c r="D207" s="233">
        <v>59.8</v>
      </c>
      <c r="E207" s="233">
        <v>62.1</v>
      </c>
      <c r="F207" s="233">
        <v>62.1</v>
      </c>
      <c r="G207" s="658">
        <f t="shared" si="80"/>
        <v>100</v>
      </c>
      <c r="H207" s="233">
        <f t="shared" si="81"/>
        <v>0</v>
      </c>
    </row>
    <row r="208" spans="1:8" s="1" customFormat="1" ht="27" x14ac:dyDescent="0.3">
      <c r="A208" s="7"/>
      <c r="B208" s="7" t="s">
        <v>12</v>
      </c>
      <c r="C208" s="6" t="s">
        <v>11</v>
      </c>
      <c r="D208" s="233">
        <v>32.4</v>
      </c>
      <c r="E208" s="233">
        <v>32.4</v>
      </c>
      <c r="F208" s="233">
        <v>32.4</v>
      </c>
      <c r="G208" s="658">
        <f t="shared" si="80"/>
        <v>100</v>
      </c>
      <c r="H208" s="233">
        <f t="shared" si="81"/>
        <v>0</v>
      </c>
    </row>
    <row r="209" spans="1:8" s="108" customFormat="1" ht="40.200000000000003" x14ac:dyDescent="0.3">
      <c r="A209" s="206" t="s">
        <v>271</v>
      </c>
      <c r="B209" s="206"/>
      <c r="C209" s="209" t="s">
        <v>270</v>
      </c>
      <c r="D209" s="230">
        <f>D210+D230</f>
        <v>12315.29725</v>
      </c>
      <c r="E209" s="230">
        <f>E210+E230</f>
        <v>11635.487130000001</v>
      </c>
      <c r="F209" s="230">
        <f>F210+F230</f>
        <v>11450.119180000002</v>
      </c>
      <c r="G209" s="655">
        <f t="shared" si="80"/>
        <v>98.406874177858342</v>
      </c>
      <c r="H209" s="230">
        <f t="shared" si="81"/>
        <v>185.36794999999984</v>
      </c>
    </row>
    <row r="210" spans="1:8" s="1" customFormat="1" ht="53.4" x14ac:dyDescent="0.3">
      <c r="A210" s="190" t="s">
        <v>269</v>
      </c>
      <c r="B210" s="190"/>
      <c r="C210" s="191" t="s">
        <v>268</v>
      </c>
      <c r="D210" s="232">
        <f>D211+D214+D216+D220+D224+D226+D222</f>
        <v>7672.0972500000007</v>
      </c>
      <c r="E210" s="232">
        <f>E211+E214+E216+E220+E224+E226+E222</f>
        <v>6992.2871300000006</v>
      </c>
      <c r="F210" s="232">
        <f>F211+F214+F216+F220+F224+F226+F222</f>
        <v>6806.9791800000003</v>
      </c>
      <c r="G210" s="657">
        <f t="shared" ref="G210:G280" si="108">F210/E210*100</f>
        <v>97.349823504745004</v>
      </c>
      <c r="H210" s="232">
        <f t="shared" ref="H210:H280" si="109">E210-F210</f>
        <v>185.30795000000035</v>
      </c>
    </row>
    <row r="211" spans="1:8" s="1" customFormat="1" ht="53.4" x14ac:dyDescent="0.3">
      <c r="A211" s="7" t="s">
        <v>392</v>
      </c>
      <c r="B211" s="7"/>
      <c r="C211" s="6" t="s">
        <v>674</v>
      </c>
      <c r="D211" s="233">
        <f t="shared" ref="D211" si="110">D212</f>
        <v>1370.6</v>
      </c>
      <c r="E211" s="233">
        <f>E212+E213</f>
        <v>1671.97669</v>
      </c>
      <c r="F211" s="233">
        <f>F212+F213</f>
        <v>1636.0462</v>
      </c>
      <c r="G211" s="658">
        <f t="shared" si="108"/>
        <v>97.851017289002996</v>
      </c>
      <c r="H211" s="233">
        <f t="shared" si="109"/>
        <v>35.930489999999963</v>
      </c>
    </row>
    <row r="212" spans="1:8" s="1" customFormat="1" ht="27" x14ac:dyDescent="0.3">
      <c r="A212" s="7"/>
      <c r="B212" s="7" t="s">
        <v>12</v>
      </c>
      <c r="C212" s="6" t="s">
        <v>11</v>
      </c>
      <c r="D212" s="233">
        <v>1370.6</v>
      </c>
      <c r="E212" s="233">
        <v>1162.48846</v>
      </c>
      <c r="F212" s="233">
        <v>1126.5579700000001</v>
      </c>
      <c r="G212" s="658">
        <f t="shared" si="108"/>
        <v>96.909174479030952</v>
      </c>
      <c r="H212" s="233">
        <f t="shared" si="109"/>
        <v>35.930489999999963</v>
      </c>
    </row>
    <row r="213" spans="1:8" s="1" customFormat="1" ht="14.4" x14ac:dyDescent="0.3">
      <c r="A213" s="342"/>
      <c r="B213" s="342" t="s">
        <v>22</v>
      </c>
      <c r="C213" s="391" t="s">
        <v>21</v>
      </c>
      <c r="D213" s="676"/>
      <c r="E213" s="676">
        <v>509.48822999999999</v>
      </c>
      <c r="F213" s="676">
        <v>509.48822999999999</v>
      </c>
      <c r="G213" s="658">
        <f t="shared" ref="G213" si="111">F213/E213*100</f>
        <v>100</v>
      </c>
      <c r="H213" s="233">
        <f t="shared" ref="H213" si="112">E213-F213</f>
        <v>0</v>
      </c>
    </row>
    <row r="214" spans="1:8" s="1" customFormat="1" ht="53.4" x14ac:dyDescent="0.3">
      <c r="A214" s="7" t="s">
        <v>359</v>
      </c>
      <c r="B214" s="7"/>
      <c r="C214" s="81" t="s">
        <v>358</v>
      </c>
      <c r="D214" s="233">
        <f>D215</f>
        <v>110.6</v>
      </c>
      <c r="E214" s="233">
        <f t="shared" ref="E214:F214" si="113">E215</f>
        <v>142.01437999999999</v>
      </c>
      <c r="F214" s="233">
        <f t="shared" si="113"/>
        <v>142.01437999999999</v>
      </c>
      <c r="G214" s="658">
        <f t="shared" si="108"/>
        <v>100</v>
      </c>
      <c r="H214" s="233">
        <f t="shared" si="109"/>
        <v>0</v>
      </c>
    </row>
    <row r="215" spans="1:8" s="1" customFormat="1" ht="27" x14ac:dyDescent="0.3">
      <c r="A215" s="7"/>
      <c r="B215" s="7" t="s">
        <v>12</v>
      </c>
      <c r="C215" s="6" t="s">
        <v>11</v>
      </c>
      <c r="D215" s="233">
        <v>110.6</v>
      </c>
      <c r="E215" s="233">
        <v>142.01437999999999</v>
      </c>
      <c r="F215" s="233">
        <v>142.01437999999999</v>
      </c>
      <c r="G215" s="658">
        <f t="shared" si="108"/>
        <v>100</v>
      </c>
      <c r="H215" s="233">
        <f t="shared" si="109"/>
        <v>0</v>
      </c>
    </row>
    <row r="216" spans="1:8" s="1" customFormat="1" ht="40.200000000000003" x14ac:dyDescent="0.3">
      <c r="A216" s="7" t="s">
        <v>267</v>
      </c>
      <c r="B216" s="7"/>
      <c r="C216" s="81" t="s">
        <v>266</v>
      </c>
      <c r="D216" s="233">
        <f>D217+D218</f>
        <v>3790.3</v>
      </c>
      <c r="E216" s="233">
        <f>E217+E218+E219</f>
        <v>3522.12923</v>
      </c>
      <c r="F216" s="233">
        <f>F217+F218+F219</f>
        <v>3521.3517700000002</v>
      </c>
      <c r="G216" s="658">
        <f t="shared" si="108"/>
        <v>99.977926420377258</v>
      </c>
      <c r="H216" s="233">
        <f t="shared" si="109"/>
        <v>0.77745999999979176</v>
      </c>
    </row>
    <row r="217" spans="1:8" s="1" customFormat="1" ht="27" x14ac:dyDescent="0.3">
      <c r="A217" s="7"/>
      <c r="B217" s="7" t="s">
        <v>12</v>
      </c>
      <c r="C217" s="6" t="s">
        <v>11</v>
      </c>
      <c r="D217" s="233">
        <v>2368.4</v>
      </c>
      <c r="E217" s="233">
        <v>2810.6615200000001</v>
      </c>
      <c r="F217" s="233">
        <v>2810.6615200000001</v>
      </c>
      <c r="G217" s="658">
        <f t="shared" si="108"/>
        <v>100</v>
      </c>
      <c r="H217" s="233">
        <f t="shared" si="109"/>
        <v>0</v>
      </c>
    </row>
    <row r="218" spans="1:8" s="1" customFormat="1" ht="14.4" x14ac:dyDescent="0.3">
      <c r="A218" s="7"/>
      <c r="B218" s="7" t="s">
        <v>79</v>
      </c>
      <c r="C218" s="6" t="s">
        <v>78</v>
      </c>
      <c r="D218" s="233">
        <v>1421.9</v>
      </c>
      <c r="E218" s="233">
        <v>671.46771000000001</v>
      </c>
      <c r="F218" s="233">
        <v>670.69024999999999</v>
      </c>
      <c r="G218" s="658">
        <f t="shared" si="108"/>
        <v>99.884214834396133</v>
      </c>
      <c r="H218" s="233">
        <f t="shared" si="109"/>
        <v>0.77746000000001914</v>
      </c>
    </row>
    <row r="219" spans="1:8" s="1" customFormat="1" ht="14.4" x14ac:dyDescent="0.3">
      <c r="A219" s="342"/>
      <c r="B219" s="342" t="s">
        <v>22</v>
      </c>
      <c r="C219" s="391" t="s">
        <v>21</v>
      </c>
      <c r="D219" s="676"/>
      <c r="E219" s="676">
        <v>40</v>
      </c>
      <c r="F219" s="676">
        <v>40</v>
      </c>
      <c r="G219" s="677">
        <f t="shared" si="108"/>
        <v>100</v>
      </c>
      <c r="H219" s="676">
        <f t="shared" si="109"/>
        <v>0</v>
      </c>
    </row>
    <row r="220" spans="1:8" s="1" customFormat="1" ht="27" x14ac:dyDescent="0.3">
      <c r="A220" s="7" t="s">
        <v>357</v>
      </c>
      <c r="B220" s="7"/>
      <c r="C220" s="6" t="s">
        <v>356</v>
      </c>
      <c r="D220" s="233">
        <f>D221</f>
        <v>35.299999999999997</v>
      </c>
      <c r="E220" s="233">
        <f t="shared" ref="E220:F220" si="114">E221</f>
        <v>4.6569900000000004</v>
      </c>
      <c r="F220" s="233">
        <f t="shared" si="114"/>
        <v>4.6569900000000004</v>
      </c>
      <c r="G220" s="658">
        <f t="shared" si="108"/>
        <v>100</v>
      </c>
      <c r="H220" s="233">
        <f t="shared" si="109"/>
        <v>0</v>
      </c>
    </row>
    <row r="221" spans="1:8" s="1" customFormat="1" ht="27" x14ac:dyDescent="0.3">
      <c r="A221" s="7"/>
      <c r="B221" s="7" t="s">
        <v>12</v>
      </c>
      <c r="C221" s="6" t="s">
        <v>11</v>
      </c>
      <c r="D221" s="233">
        <v>35.299999999999997</v>
      </c>
      <c r="E221" s="233">
        <v>4.6569900000000004</v>
      </c>
      <c r="F221" s="233">
        <v>4.6569900000000004</v>
      </c>
      <c r="G221" s="658">
        <f t="shared" si="108"/>
        <v>100</v>
      </c>
      <c r="H221" s="233">
        <f t="shared" si="109"/>
        <v>0</v>
      </c>
    </row>
    <row r="222" spans="1:8" s="1" customFormat="1" ht="53.4" x14ac:dyDescent="0.3">
      <c r="A222" s="7" t="s">
        <v>562</v>
      </c>
      <c r="B222" s="7"/>
      <c r="C222" s="6" t="s">
        <v>676</v>
      </c>
      <c r="D222" s="233">
        <f>D223</f>
        <v>489.6</v>
      </c>
      <c r="E222" s="233">
        <f t="shared" ref="E222:F222" si="115">E223</f>
        <v>469.3501</v>
      </c>
      <c r="F222" s="233">
        <f t="shared" si="115"/>
        <v>469.3501</v>
      </c>
      <c r="G222" s="658">
        <f t="shared" si="108"/>
        <v>100</v>
      </c>
      <c r="H222" s="233">
        <f t="shared" si="109"/>
        <v>0</v>
      </c>
    </row>
    <row r="223" spans="1:8" s="1" customFormat="1" ht="27" x14ac:dyDescent="0.3">
      <c r="A223" s="7"/>
      <c r="B223" s="7" t="s">
        <v>12</v>
      </c>
      <c r="C223" s="6" t="s">
        <v>11</v>
      </c>
      <c r="D223" s="233">
        <v>489.6</v>
      </c>
      <c r="E223" s="233">
        <v>469.3501</v>
      </c>
      <c r="F223" s="233">
        <v>469.3501</v>
      </c>
      <c r="G223" s="658">
        <f t="shared" si="108"/>
        <v>100</v>
      </c>
      <c r="H223" s="233">
        <f t="shared" si="109"/>
        <v>0</v>
      </c>
    </row>
    <row r="224" spans="1:8" s="1" customFormat="1" ht="14.4" x14ac:dyDescent="0.3">
      <c r="A224" s="7" t="s">
        <v>849</v>
      </c>
      <c r="B224" s="7"/>
      <c r="C224" s="6" t="s">
        <v>850</v>
      </c>
      <c r="D224" s="233">
        <f>D225</f>
        <v>208.6</v>
      </c>
      <c r="E224" s="233">
        <f t="shared" ref="E224:F224" si="116">E225</f>
        <v>208.6</v>
      </c>
      <c r="F224" s="233">
        <f t="shared" si="116"/>
        <v>60</v>
      </c>
      <c r="G224" s="658">
        <f t="shared" si="108"/>
        <v>28.763183125599234</v>
      </c>
      <c r="H224" s="233">
        <f t="shared" si="109"/>
        <v>148.6</v>
      </c>
    </row>
    <row r="225" spans="1:8" s="1" customFormat="1" ht="14.4" x14ac:dyDescent="0.3">
      <c r="A225" s="7"/>
      <c r="B225" s="7" t="s">
        <v>79</v>
      </c>
      <c r="C225" s="6" t="s">
        <v>78</v>
      </c>
      <c r="D225" s="233">
        <v>208.6</v>
      </c>
      <c r="E225" s="233">
        <v>208.6</v>
      </c>
      <c r="F225" s="233">
        <v>60</v>
      </c>
      <c r="G225" s="658">
        <f t="shared" si="108"/>
        <v>28.763183125599234</v>
      </c>
      <c r="H225" s="233">
        <f t="shared" si="109"/>
        <v>148.6</v>
      </c>
    </row>
    <row r="226" spans="1:8" s="1" customFormat="1" ht="53.4" x14ac:dyDescent="0.3">
      <c r="A226" s="7" t="s">
        <v>355</v>
      </c>
      <c r="B226" s="7"/>
      <c r="C226" s="6" t="s">
        <v>675</v>
      </c>
      <c r="D226" s="233">
        <f>D227</f>
        <v>1667.09725</v>
      </c>
      <c r="E226" s="233">
        <f t="shared" ref="E226:F226" si="117">E227</f>
        <v>973.55973999999992</v>
      </c>
      <c r="F226" s="233">
        <f t="shared" si="117"/>
        <v>973.55973999999992</v>
      </c>
      <c r="G226" s="658">
        <f t="shared" si="108"/>
        <v>100</v>
      </c>
      <c r="H226" s="233">
        <f t="shared" si="109"/>
        <v>0</v>
      </c>
    </row>
    <row r="227" spans="1:8" s="1" customFormat="1" ht="27" x14ac:dyDescent="0.3">
      <c r="A227" s="7"/>
      <c r="B227" s="7" t="s">
        <v>12</v>
      </c>
      <c r="C227" s="6" t="s">
        <v>11</v>
      </c>
      <c r="D227" s="233">
        <f>D228+D229</f>
        <v>1667.09725</v>
      </c>
      <c r="E227" s="233">
        <f t="shared" ref="E227:F227" si="118">E228+E229</f>
        <v>973.55973999999992</v>
      </c>
      <c r="F227" s="233">
        <f t="shared" si="118"/>
        <v>973.55973999999992</v>
      </c>
      <c r="G227" s="658">
        <f t="shared" si="108"/>
        <v>100</v>
      </c>
      <c r="H227" s="233">
        <f t="shared" si="109"/>
        <v>0</v>
      </c>
    </row>
    <row r="228" spans="1:8" s="1" customFormat="1" ht="14.4" x14ac:dyDescent="0.3">
      <c r="A228" s="7"/>
      <c r="B228" s="7"/>
      <c r="C228" s="6" t="s">
        <v>108</v>
      </c>
      <c r="D228" s="233">
        <v>1634.0559000000001</v>
      </c>
      <c r="E228" s="233">
        <v>954.24577999999997</v>
      </c>
      <c r="F228" s="233">
        <v>954.24577999999997</v>
      </c>
      <c r="G228" s="658">
        <f t="shared" si="108"/>
        <v>100</v>
      </c>
      <c r="H228" s="233">
        <f t="shared" si="109"/>
        <v>0</v>
      </c>
    </row>
    <row r="229" spans="1:8" s="1" customFormat="1" ht="14.4" x14ac:dyDescent="0.3">
      <c r="A229" s="7"/>
      <c r="B229" s="7"/>
      <c r="C229" s="6" t="s">
        <v>106</v>
      </c>
      <c r="D229" s="233">
        <v>33.041350000000001</v>
      </c>
      <c r="E229" s="233">
        <v>19.313960000000002</v>
      </c>
      <c r="F229" s="233">
        <v>19.313960000000002</v>
      </c>
      <c r="G229" s="658">
        <f t="shared" si="108"/>
        <v>100</v>
      </c>
      <c r="H229" s="233">
        <f t="shared" si="109"/>
        <v>0</v>
      </c>
    </row>
    <row r="230" spans="1:8" s="1" customFormat="1" ht="40.200000000000003" x14ac:dyDescent="0.3">
      <c r="A230" s="190" t="s">
        <v>391</v>
      </c>
      <c r="B230" s="190"/>
      <c r="C230" s="191" t="s">
        <v>390</v>
      </c>
      <c r="D230" s="232">
        <f t="shared" ref="D230:F231" si="119">D231</f>
        <v>4643.2</v>
      </c>
      <c r="E230" s="232">
        <f t="shared" si="119"/>
        <v>4643.2</v>
      </c>
      <c r="F230" s="232">
        <f t="shared" si="119"/>
        <v>4643.1400000000003</v>
      </c>
      <c r="G230" s="657">
        <f t="shared" si="108"/>
        <v>99.998707787732613</v>
      </c>
      <c r="H230" s="232">
        <f t="shared" si="109"/>
        <v>5.9999999999490683E-2</v>
      </c>
    </row>
    <row r="231" spans="1:8" s="1" customFormat="1" ht="27" x14ac:dyDescent="0.3">
      <c r="A231" s="7" t="s">
        <v>389</v>
      </c>
      <c r="B231" s="7"/>
      <c r="C231" s="81" t="s">
        <v>597</v>
      </c>
      <c r="D231" s="233">
        <f t="shared" si="119"/>
        <v>4643.2</v>
      </c>
      <c r="E231" s="233">
        <f t="shared" si="119"/>
        <v>4643.2</v>
      </c>
      <c r="F231" s="233">
        <f t="shared" si="119"/>
        <v>4643.1400000000003</v>
      </c>
      <c r="G231" s="658">
        <f t="shared" si="108"/>
        <v>99.998707787732613</v>
      </c>
      <c r="H231" s="233">
        <f t="shared" si="109"/>
        <v>5.9999999999490683E-2</v>
      </c>
    </row>
    <row r="232" spans="1:8" s="1" customFormat="1" ht="40.200000000000003" x14ac:dyDescent="0.3">
      <c r="A232" s="7"/>
      <c r="B232" s="75" t="s">
        <v>260</v>
      </c>
      <c r="C232" s="6" t="s">
        <v>259</v>
      </c>
      <c r="D232" s="233">
        <v>4643.2</v>
      </c>
      <c r="E232" s="233">
        <v>4643.2</v>
      </c>
      <c r="F232" s="233">
        <v>4643.1400000000003</v>
      </c>
      <c r="G232" s="658">
        <f t="shared" si="108"/>
        <v>99.998707787732613</v>
      </c>
      <c r="H232" s="233">
        <f t="shared" si="109"/>
        <v>5.9999999999490683E-2</v>
      </c>
    </row>
    <row r="233" spans="1:8" ht="52.8" x14ac:dyDescent="0.25">
      <c r="A233" s="206" t="s">
        <v>65</v>
      </c>
      <c r="B233" s="206"/>
      <c r="C233" s="209" t="s">
        <v>64</v>
      </c>
      <c r="D233" s="230">
        <f>D234+D286+D290</f>
        <v>173316.66688</v>
      </c>
      <c r="E233" s="230">
        <f>E234+E286+E290</f>
        <v>190817.35621</v>
      </c>
      <c r="F233" s="230">
        <f>F234+F286+F290</f>
        <v>110678.97795000001</v>
      </c>
      <c r="G233" s="655">
        <f t="shared" si="108"/>
        <v>58.002573847734595</v>
      </c>
      <c r="H233" s="230">
        <f t="shared" si="109"/>
        <v>80138.378259999983</v>
      </c>
    </row>
    <row r="234" spans="1:8" ht="39.6" x14ac:dyDescent="0.25">
      <c r="A234" s="31" t="s">
        <v>101</v>
      </c>
      <c r="B234" s="31"/>
      <c r="C234" s="52" t="s">
        <v>100</v>
      </c>
      <c r="D234" s="231">
        <f>D235+D238+D243+D246+D249+D263+D266+D280</f>
        <v>171878.66688</v>
      </c>
      <c r="E234" s="231">
        <f t="shared" ref="E234:F234" si="120">E235+E238+E243+E246+E249+E263+E266+E280</f>
        <v>189379.35621</v>
      </c>
      <c r="F234" s="231">
        <f t="shared" si="120"/>
        <v>109240.97795000001</v>
      </c>
      <c r="G234" s="656">
        <f t="shared" si="108"/>
        <v>57.683677955301683</v>
      </c>
      <c r="H234" s="231">
        <f t="shared" si="109"/>
        <v>80138.378259999983</v>
      </c>
    </row>
    <row r="235" spans="1:8" ht="66" x14ac:dyDescent="0.25">
      <c r="A235" s="190" t="s">
        <v>126</v>
      </c>
      <c r="B235" s="190"/>
      <c r="C235" s="191" t="s">
        <v>125</v>
      </c>
      <c r="D235" s="232">
        <f t="shared" ref="D235:F236" si="121">D236</f>
        <v>48819.100000000006</v>
      </c>
      <c r="E235" s="232">
        <f t="shared" si="121"/>
        <v>48819.100000000006</v>
      </c>
      <c r="F235" s="232">
        <f t="shared" si="121"/>
        <v>48819.100000000006</v>
      </c>
      <c r="G235" s="657">
        <f t="shared" si="108"/>
        <v>100</v>
      </c>
      <c r="H235" s="232">
        <f t="shared" si="109"/>
        <v>0</v>
      </c>
    </row>
    <row r="236" spans="1:8" ht="26.4" x14ac:dyDescent="0.25">
      <c r="A236" s="7" t="s">
        <v>124</v>
      </c>
      <c r="B236" s="7"/>
      <c r="C236" s="64" t="s">
        <v>123</v>
      </c>
      <c r="D236" s="233">
        <f t="shared" si="121"/>
        <v>48819.100000000006</v>
      </c>
      <c r="E236" s="233">
        <f t="shared" si="121"/>
        <v>48819.100000000006</v>
      </c>
      <c r="F236" s="233">
        <f t="shared" si="121"/>
        <v>48819.100000000006</v>
      </c>
      <c r="G236" s="658">
        <f t="shared" si="108"/>
        <v>100</v>
      </c>
      <c r="H236" s="233">
        <f t="shared" si="109"/>
        <v>0</v>
      </c>
    </row>
    <row r="237" spans="1:8" ht="26.4" x14ac:dyDescent="0.25">
      <c r="A237" s="7"/>
      <c r="B237" s="7" t="s">
        <v>57</v>
      </c>
      <c r="C237" s="6" t="s">
        <v>56</v>
      </c>
      <c r="D237" s="233">
        <f>49854.3-1378.5+343.3</f>
        <v>48819.100000000006</v>
      </c>
      <c r="E237" s="233">
        <f t="shared" ref="E237:F237" si="122">49854.3-1378.5+343.3</f>
        <v>48819.100000000006</v>
      </c>
      <c r="F237" s="233">
        <f t="shared" si="122"/>
        <v>48819.100000000006</v>
      </c>
      <c r="G237" s="658">
        <f t="shared" si="108"/>
        <v>100</v>
      </c>
      <c r="H237" s="233">
        <f t="shared" si="109"/>
        <v>0</v>
      </c>
    </row>
    <row r="238" spans="1:8" ht="26.4" x14ac:dyDescent="0.25">
      <c r="A238" s="190" t="s">
        <v>122</v>
      </c>
      <c r="B238" s="190"/>
      <c r="C238" s="191" t="s">
        <v>121</v>
      </c>
      <c r="D238" s="232">
        <f>D239+D241</f>
        <v>24594.400000000001</v>
      </c>
      <c r="E238" s="232">
        <f t="shared" ref="E238:F238" si="123">E239+E241</f>
        <v>24594.400000000001</v>
      </c>
      <c r="F238" s="232">
        <f t="shared" si="123"/>
        <v>24594.400000000001</v>
      </c>
      <c r="G238" s="657">
        <f t="shared" si="108"/>
        <v>100</v>
      </c>
      <c r="H238" s="232">
        <f t="shared" si="109"/>
        <v>0</v>
      </c>
    </row>
    <row r="239" spans="1:8" ht="26.4" x14ac:dyDescent="0.25">
      <c r="A239" s="7" t="s">
        <v>120</v>
      </c>
      <c r="B239" s="7"/>
      <c r="C239" s="64" t="s">
        <v>119</v>
      </c>
      <c r="D239" s="233">
        <f>D240</f>
        <v>24094.400000000001</v>
      </c>
      <c r="E239" s="233">
        <f t="shared" ref="E239:F239" si="124">E240</f>
        <v>24094.400000000001</v>
      </c>
      <c r="F239" s="233">
        <f t="shared" si="124"/>
        <v>24094.400000000001</v>
      </c>
      <c r="G239" s="658">
        <f t="shared" si="108"/>
        <v>100</v>
      </c>
      <c r="H239" s="233">
        <f t="shared" si="109"/>
        <v>0</v>
      </c>
    </row>
    <row r="240" spans="1:8" ht="26.4" x14ac:dyDescent="0.25">
      <c r="A240" s="7"/>
      <c r="B240" s="7" t="s">
        <v>57</v>
      </c>
      <c r="C240" s="6" t="s">
        <v>56</v>
      </c>
      <c r="D240" s="233">
        <f>20746+1245.9+2152.5-50</f>
        <v>24094.400000000001</v>
      </c>
      <c r="E240" s="233">
        <f t="shared" ref="E240:F240" si="125">20746+1245.9+2152.5-50</f>
        <v>24094.400000000001</v>
      </c>
      <c r="F240" s="233">
        <f t="shared" si="125"/>
        <v>24094.400000000001</v>
      </c>
      <c r="G240" s="658">
        <f t="shared" si="108"/>
        <v>100</v>
      </c>
      <c r="H240" s="233">
        <f t="shared" si="109"/>
        <v>0</v>
      </c>
    </row>
    <row r="241" spans="1:8" ht="26.4" x14ac:dyDescent="0.25">
      <c r="A241" s="7" t="s">
        <v>118</v>
      </c>
      <c r="B241" s="7"/>
      <c r="C241" s="64" t="s">
        <v>117</v>
      </c>
      <c r="D241" s="233">
        <f>D242</f>
        <v>500</v>
      </c>
      <c r="E241" s="233">
        <f t="shared" ref="E241:F241" si="126">E242</f>
        <v>500</v>
      </c>
      <c r="F241" s="233">
        <f t="shared" si="126"/>
        <v>500</v>
      </c>
      <c r="G241" s="658">
        <f t="shared" si="108"/>
        <v>100</v>
      </c>
      <c r="H241" s="233">
        <f t="shared" si="109"/>
        <v>0</v>
      </c>
    </row>
    <row r="242" spans="1:8" ht="26.4" x14ac:dyDescent="0.25">
      <c r="A242" s="7"/>
      <c r="B242" s="7" t="s">
        <v>57</v>
      </c>
      <c r="C242" s="6" t="s">
        <v>56</v>
      </c>
      <c r="D242" s="233">
        <f>734-234</f>
        <v>500</v>
      </c>
      <c r="E242" s="233">
        <f t="shared" ref="E242:F242" si="127">734-234</f>
        <v>500</v>
      </c>
      <c r="F242" s="233">
        <f t="shared" si="127"/>
        <v>500</v>
      </c>
      <c r="G242" s="658">
        <f t="shared" si="108"/>
        <v>100</v>
      </c>
      <c r="H242" s="233">
        <f t="shared" si="109"/>
        <v>0</v>
      </c>
    </row>
    <row r="243" spans="1:8" ht="39.6" x14ac:dyDescent="0.25">
      <c r="A243" s="190" t="s">
        <v>116</v>
      </c>
      <c r="B243" s="190"/>
      <c r="C243" s="191" t="s">
        <v>115</v>
      </c>
      <c r="D243" s="232">
        <f t="shared" ref="D243:F244" si="128">D244</f>
        <v>1706.1000000000001</v>
      </c>
      <c r="E243" s="232">
        <f t="shared" si="128"/>
        <v>1706.1000000000001</v>
      </c>
      <c r="F243" s="232">
        <f t="shared" si="128"/>
        <v>1706.1000000000001</v>
      </c>
      <c r="G243" s="657">
        <f t="shared" si="108"/>
        <v>100</v>
      </c>
      <c r="H243" s="232">
        <f t="shared" si="109"/>
        <v>0</v>
      </c>
    </row>
    <row r="244" spans="1:8" ht="26.4" x14ac:dyDescent="0.25">
      <c r="A244" s="7" t="s">
        <v>114</v>
      </c>
      <c r="B244" s="7"/>
      <c r="C244" s="64" t="s">
        <v>113</v>
      </c>
      <c r="D244" s="233">
        <f t="shared" si="128"/>
        <v>1706.1000000000001</v>
      </c>
      <c r="E244" s="233">
        <f t="shared" si="128"/>
        <v>1706.1000000000001</v>
      </c>
      <c r="F244" s="233">
        <f t="shared" si="128"/>
        <v>1706.1000000000001</v>
      </c>
      <c r="G244" s="658">
        <f t="shared" si="108"/>
        <v>100</v>
      </c>
      <c r="H244" s="233">
        <f t="shared" si="109"/>
        <v>0</v>
      </c>
    </row>
    <row r="245" spans="1:8" ht="26.4" x14ac:dyDescent="0.25">
      <c r="A245" s="7"/>
      <c r="B245" s="7" t="s">
        <v>57</v>
      </c>
      <c r="C245" s="6" t="s">
        <v>56</v>
      </c>
      <c r="D245" s="233">
        <f>1473.4+232.7</f>
        <v>1706.1000000000001</v>
      </c>
      <c r="E245" s="233">
        <f t="shared" ref="E245:F245" si="129">1473.4+232.7</f>
        <v>1706.1000000000001</v>
      </c>
      <c r="F245" s="233">
        <f t="shared" si="129"/>
        <v>1706.1000000000001</v>
      </c>
      <c r="G245" s="658">
        <f t="shared" si="108"/>
        <v>100</v>
      </c>
      <c r="H245" s="233">
        <f t="shared" si="109"/>
        <v>0</v>
      </c>
    </row>
    <row r="246" spans="1:8" ht="39.6" x14ac:dyDescent="0.25">
      <c r="A246" s="190" t="s">
        <v>150</v>
      </c>
      <c r="B246" s="190"/>
      <c r="C246" s="191" t="s">
        <v>149</v>
      </c>
      <c r="D246" s="232">
        <f t="shared" ref="D246:F247" si="130">D247</f>
        <v>22821.8</v>
      </c>
      <c r="E246" s="232">
        <f t="shared" si="130"/>
        <v>22821.8</v>
      </c>
      <c r="F246" s="232">
        <f t="shared" si="130"/>
        <v>22821.8</v>
      </c>
      <c r="G246" s="657">
        <f t="shared" si="108"/>
        <v>100</v>
      </c>
      <c r="H246" s="232">
        <f t="shared" si="109"/>
        <v>0</v>
      </c>
    </row>
    <row r="247" spans="1:8" ht="26.4" x14ac:dyDescent="0.25">
      <c r="A247" s="7" t="s">
        <v>148</v>
      </c>
      <c r="B247" s="7"/>
      <c r="C247" s="64" t="s">
        <v>147</v>
      </c>
      <c r="D247" s="233">
        <f t="shared" si="130"/>
        <v>22821.8</v>
      </c>
      <c r="E247" s="233">
        <f t="shared" si="130"/>
        <v>22821.8</v>
      </c>
      <c r="F247" s="233">
        <f t="shared" si="130"/>
        <v>22821.8</v>
      </c>
      <c r="G247" s="658">
        <f t="shared" si="108"/>
        <v>100</v>
      </c>
      <c r="H247" s="233">
        <f t="shared" si="109"/>
        <v>0</v>
      </c>
    </row>
    <row r="248" spans="1:8" ht="26.4" x14ac:dyDescent="0.25">
      <c r="A248" s="7"/>
      <c r="B248" s="7" t="s">
        <v>57</v>
      </c>
      <c r="C248" s="6" t="s">
        <v>56</v>
      </c>
      <c r="D248" s="233">
        <f>22356.6+465.2</f>
        <v>22821.8</v>
      </c>
      <c r="E248" s="233">
        <f t="shared" ref="E248:F248" si="131">22356.6+465.2</f>
        <v>22821.8</v>
      </c>
      <c r="F248" s="233">
        <f t="shared" si="131"/>
        <v>22821.8</v>
      </c>
      <c r="G248" s="658">
        <f t="shared" si="108"/>
        <v>100</v>
      </c>
      <c r="H248" s="233">
        <f t="shared" si="109"/>
        <v>0</v>
      </c>
    </row>
    <row r="249" spans="1:8" ht="39.6" x14ac:dyDescent="0.25">
      <c r="A249" s="190" t="s">
        <v>99</v>
      </c>
      <c r="B249" s="197"/>
      <c r="C249" s="191" t="s">
        <v>98</v>
      </c>
      <c r="D249" s="232">
        <f>D250+D252+D254+D259</f>
        <v>2314.3000000000002</v>
      </c>
      <c r="E249" s="232">
        <f t="shared" ref="E249:F249" si="132">E250+E252+E254+E259</f>
        <v>2951.3</v>
      </c>
      <c r="F249" s="232">
        <f t="shared" si="132"/>
        <v>2951.2966999999999</v>
      </c>
      <c r="G249" s="657">
        <f t="shared" si="108"/>
        <v>99.999888184867686</v>
      </c>
      <c r="H249" s="232">
        <f t="shared" si="109"/>
        <v>3.3000000003085006E-3</v>
      </c>
    </row>
    <row r="250" spans="1:8" ht="79.2" x14ac:dyDescent="0.25">
      <c r="A250" s="7" t="s">
        <v>97</v>
      </c>
      <c r="B250" s="7"/>
      <c r="C250" s="6" t="s">
        <v>598</v>
      </c>
      <c r="D250" s="233">
        <f>D251</f>
        <v>669.8</v>
      </c>
      <c r="E250" s="233">
        <f t="shared" ref="E250:F250" si="133">E251</f>
        <v>669.8</v>
      </c>
      <c r="F250" s="233">
        <f t="shared" si="133"/>
        <v>669.8</v>
      </c>
      <c r="G250" s="658">
        <f t="shared" si="108"/>
        <v>100</v>
      </c>
      <c r="H250" s="233">
        <f t="shared" si="109"/>
        <v>0</v>
      </c>
    </row>
    <row r="251" spans="1:8" ht="26.4" x14ac:dyDescent="0.25">
      <c r="A251" s="7"/>
      <c r="B251" s="7" t="s">
        <v>57</v>
      </c>
      <c r="C251" s="6" t="s">
        <v>56</v>
      </c>
      <c r="D251" s="233">
        <f>769.8-100</f>
        <v>669.8</v>
      </c>
      <c r="E251" s="233">
        <f t="shared" ref="E251:F251" si="134">769.8-100</f>
        <v>669.8</v>
      </c>
      <c r="F251" s="233">
        <f t="shared" si="134"/>
        <v>669.8</v>
      </c>
      <c r="G251" s="658">
        <f t="shared" si="108"/>
        <v>100</v>
      </c>
      <c r="H251" s="233">
        <f t="shared" si="109"/>
        <v>0</v>
      </c>
    </row>
    <row r="252" spans="1:8" ht="79.2" x14ac:dyDescent="0.25">
      <c r="A252" s="7" t="s">
        <v>95</v>
      </c>
      <c r="B252" s="7"/>
      <c r="C252" s="6" t="s">
        <v>94</v>
      </c>
      <c r="D252" s="233">
        <f>D253</f>
        <v>590</v>
      </c>
      <c r="E252" s="233">
        <f t="shared" ref="E252:F252" si="135">E253</f>
        <v>590</v>
      </c>
      <c r="F252" s="233">
        <f t="shared" si="135"/>
        <v>590</v>
      </c>
      <c r="G252" s="658">
        <f t="shared" si="108"/>
        <v>100</v>
      </c>
      <c r="H252" s="233">
        <f t="shared" si="109"/>
        <v>0</v>
      </c>
    </row>
    <row r="253" spans="1:8" ht="26.4" x14ac:dyDescent="0.25">
      <c r="A253" s="7"/>
      <c r="B253" s="7" t="s">
        <v>57</v>
      </c>
      <c r="C253" s="6" t="s">
        <v>56</v>
      </c>
      <c r="D253" s="233">
        <v>590</v>
      </c>
      <c r="E253" s="233">
        <v>590</v>
      </c>
      <c r="F253" s="233">
        <v>590</v>
      </c>
      <c r="G253" s="658">
        <f t="shared" si="108"/>
        <v>100</v>
      </c>
      <c r="H253" s="233">
        <f t="shared" si="109"/>
        <v>0</v>
      </c>
    </row>
    <row r="254" spans="1:8" ht="26.4" x14ac:dyDescent="0.25">
      <c r="A254" s="7" t="s">
        <v>577</v>
      </c>
      <c r="B254" s="7"/>
      <c r="C254" s="6" t="s">
        <v>578</v>
      </c>
      <c r="D254" s="233">
        <f>D255+D256</f>
        <v>887.5</v>
      </c>
      <c r="E254" s="233">
        <f t="shared" ref="E254:F254" si="136">E255+E256</f>
        <v>887.5</v>
      </c>
      <c r="F254" s="233">
        <f t="shared" si="136"/>
        <v>887.49670000000003</v>
      </c>
      <c r="G254" s="658">
        <f t="shared" si="108"/>
        <v>99.999628169014088</v>
      </c>
      <c r="H254" s="233">
        <f t="shared" si="109"/>
        <v>3.2999999999674401E-3</v>
      </c>
    </row>
    <row r="255" spans="1:8" ht="26.4" x14ac:dyDescent="0.25">
      <c r="A255" s="7"/>
      <c r="B255" s="7" t="s">
        <v>12</v>
      </c>
      <c r="C255" s="6" t="s">
        <v>11</v>
      </c>
      <c r="D255" s="233">
        <v>28</v>
      </c>
      <c r="E255" s="233">
        <v>28</v>
      </c>
      <c r="F255" s="233">
        <v>28</v>
      </c>
      <c r="G255" s="658">
        <f t="shared" si="108"/>
        <v>100</v>
      </c>
      <c r="H255" s="233">
        <f t="shared" si="109"/>
        <v>0</v>
      </c>
    </row>
    <row r="256" spans="1:8" ht="26.4" x14ac:dyDescent="0.25">
      <c r="A256" s="7"/>
      <c r="B256" s="7" t="s">
        <v>57</v>
      </c>
      <c r="C256" s="6" t="s">
        <v>56</v>
      </c>
      <c r="D256" s="233">
        <f>560+200-28+127.5</f>
        <v>859.5</v>
      </c>
      <c r="E256" s="233">
        <f t="shared" ref="E256" si="137">560+200-28+127.5</f>
        <v>859.5</v>
      </c>
      <c r="F256" s="233">
        <f>F257+F258</f>
        <v>859.49670000000003</v>
      </c>
      <c r="G256" s="658">
        <f t="shared" si="108"/>
        <v>99.999616055846431</v>
      </c>
      <c r="H256" s="233">
        <f t="shared" si="109"/>
        <v>3.2999999999674401E-3</v>
      </c>
    </row>
    <row r="257" spans="1:8" x14ac:dyDescent="0.25">
      <c r="A257" s="342"/>
      <c r="B257" s="342"/>
      <c r="C257" s="6" t="s">
        <v>106</v>
      </c>
      <c r="D257" s="403"/>
      <c r="E257" s="682">
        <v>753.74991999999997</v>
      </c>
      <c r="F257" s="682">
        <v>753.74662000000001</v>
      </c>
      <c r="G257" s="683">
        <f t="shared" si="108"/>
        <v>99.999562189008259</v>
      </c>
      <c r="H257" s="676"/>
    </row>
    <row r="258" spans="1:8" x14ac:dyDescent="0.25">
      <c r="A258" s="342"/>
      <c r="B258" s="342"/>
      <c r="C258" s="6" t="s">
        <v>884</v>
      </c>
      <c r="D258" s="403"/>
      <c r="E258" s="682">
        <v>105.75008</v>
      </c>
      <c r="F258" s="682">
        <v>105.75008</v>
      </c>
      <c r="G258" s="683">
        <f t="shared" si="108"/>
        <v>100</v>
      </c>
      <c r="H258" s="676"/>
    </row>
    <row r="259" spans="1:8" ht="26.4" x14ac:dyDescent="0.25">
      <c r="A259" s="7" t="s">
        <v>820</v>
      </c>
      <c r="B259" s="7"/>
      <c r="C259" s="6" t="s">
        <v>821</v>
      </c>
      <c r="D259" s="233">
        <f>D260</f>
        <v>167</v>
      </c>
      <c r="E259" s="233">
        <f t="shared" ref="E259:F259" si="138">E260</f>
        <v>804</v>
      </c>
      <c r="F259" s="233">
        <f t="shared" si="138"/>
        <v>804</v>
      </c>
      <c r="G259" s="658">
        <f t="shared" si="108"/>
        <v>100</v>
      </c>
      <c r="H259" s="233">
        <f t="shared" si="109"/>
        <v>0</v>
      </c>
    </row>
    <row r="260" spans="1:8" ht="26.4" x14ac:dyDescent="0.25">
      <c r="A260" s="7"/>
      <c r="B260" s="7" t="s">
        <v>57</v>
      </c>
      <c r="C260" s="6" t="s">
        <v>56</v>
      </c>
      <c r="D260" s="233">
        <v>167</v>
      </c>
      <c r="E260" s="233">
        <f>E261+E262</f>
        <v>804</v>
      </c>
      <c r="F260" s="233">
        <f>F261+F262</f>
        <v>804</v>
      </c>
      <c r="G260" s="658">
        <f t="shared" si="108"/>
        <v>100</v>
      </c>
      <c r="H260" s="233">
        <f t="shared" si="109"/>
        <v>0</v>
      </c>
    </row>
    <row r="261" spans="1:8" x14ac:dyDescent="0.25">
      <c r="A261" s="342"/>
      <c r="B261" s="342"/>
      <c r="C261" s="391" t="s">
        <v>108</v>
      </c>
      <c r="D261" s="676"/>
      <c r="E261" s="676">
        <v>637</v>
      </c>
      <c r="F261" s="676">
        <v>637</v>
      </c>
      <c r="G261" s="658">
        <f t="shared" ref="G261" si="139">F261/E261*100</f>
        <v>100</v>
      </c>
      <c r="H261" s="233">
        <f t="shared" ref="H261" si="140">E261-F261</f>
        <v>0</v>
      </c>
    </row>
    <row r="262" spans="1:8" x14ac:dyDescent="0.25">
      <c r="A262" s="311"/>
      <c r="B262" s="311"/>
      <c r="C262" s="6" t="s">
        <v>106</v>
      </c>
      <c r="D262" s="233">
        <v>167</v>
      </c>
      <c r="E262" s="233">
        <v>167</v>
      </c>
      <c r="F262" s="233">
        <v>167</v>
      </c>
      <c r="G262" s="658">
        <f t="shared" si="108"/>
        <v>100</v>
      </c>
      <c r="H262" s="233">
        <f t="shared" si="109"/>
        <v>0</v>
      </c>
    </row>
    <row r="263" spans="1:8" x14ac:dyDescent="0.25">
      <c r="A263" s="190" t="s">
        <v>93</v>
      </c>
      <c r="B263" s="197"/>
      <c r="C263" s="191" t="s">
        <v>92</v>
      </c>
      <c r="D263" s="232">
        <f t="shared" ref="D263:F264" si="141">D264</f>
        <v>50</v>
      </c>
      <c r="E263" s="232">
        <f t="shared" si="141"/>
        <v>50</v>
      </c>
      <c r="F263" s="232">
        <f t="shared" si="141"/>
        <v>50</v>
      </c>
      <c r="G263" s="657">
        <f t="shared" si="108"/>
        <v>100</v>
      </c>
      <c r="H263" s="232">
        <f t="shared" si="109"/>
        <v>0</v>
      </c>
    </row>
    <row r="264" spans="1:8" ht="26.4" x14ac:dyDescent="0.25">
      <c r="A264" s="7" t="s">
        <v>91</v>
      </c>
      <c r="B264" s="7"/>
      <c r="C264" s="6" t="s">
        <v>90</v>
      </c>
      <c r="D264" s="233">
        <f t="shared" si="141"/>
        <v>50</v>
      </c>
      <c r="E264" s="233">
        <f t="shared" si="141"/>
        <v>50</v>
      </c>
      <c r="F264" s="233">
        <f t="shared" si="141"/>
        <v>50</v>
      </c>
      <c r="G264" s="658">
        <f t="shared" si="108"/>
        <v>100</v>
      </c>
      <c r="H264" s="233">
        <f t="shared" si="109"/>
        <v>0</v>
      </c>
    </row>
    <row r="265" spans="1:8" ht="26.4" x14ac:dyDescent="0.25">
      <c r="A265" s="7"/>
      <c r="B265" s="7" t="s">
        <v>57</v>
      </c>
      <c r="C265" s="6" t="s">
        <v>56</v>
      </c>
      <c r="D265" s="233">
        <v>50</v>
      </c>
      <c r="E265" s="233">
        <v>50</v>
      </c>
      <c r="F265" s="233">
        <v>50</v>
      </c>
      <c r="G265" s="658">
        <f t="shared" si="108"/>
        <v>100</v>
      </c>
      <c r="H265" s="233">
        <f t="shared" si="109"/>
        <v>0</v>
      </c>
    </row>
    <row r="266" spans="1:8" ht="74.25" customHeight="1" x14ac:dyDescent="0.25">
      <c r="A266" s="190" t="s">
        <v>112</v>
      </c>
      <c r="B266" s="190"/>
      <c r="C266" s="193" t="s">
        <v>111</v>
      </c>
      <c r="D266" s="232">
        <f>D269+D271+D276+D267+D278</f>
        <v>3146.2</v>
      </c>
      <c r="E266" s="232">
        <f t="shared" ref="E266:F266" si="142">E269+E271+E276+E267+E278</f>
        <v>4248.3765999999996</v>
      </c>
      <c r="F266" s="232">
        <f t="shared" si="142"/>
        <v>4202.1692000000003</v>
      </c>
      <c r="G266" s="657">
        <f t="shared" si="108"/>
        <v>98.912351602727512</v>
      </c>
      <c r="H266" s="232">
        <f t="shared" si="109"/>
        <v>46.207399999999325</v>
      </c>
    </row>
    <row r="267" spans="1:8" ht="42.75" customHeight="1" x14ac:dyDescent="0.25">
      <c r="A267" s="7" t="s">
        <v>838</v>
      </c>
      <c r="B267" s="326"/>
      <c r="C267" s="329" t="s">
        <v>837</v>
      </c>
      <c r="D267" s="327">
        <f>D268</f>
        <v>200.2</v>
      </c>
      <c r="E267" s="327">
        <f t="shared" ref="E267:F267" si="143">E268</f>
        <v>200.20294999999999</v>
      </c>
      <c r="F267" s="327">
        <f t="shared" si="143"/>
        <v>200.20294999999999</v>
      </c>
      <c r="G267" s="660">
        <f t="shared" si="108"/>
        <v>100</v>
      </c>
      <c r="H267" s="327">
        <f t="shared" si="109"/>
        <v>0</v>
      </c>
    </row>
    <row r="268" spans="1:8" ht="30" customHeight="1" x14ac:dyDescent="0.25">
      <c r="A268" s="328"/>
      <c r="B268" s="7" t="s">
        <v>57</v>
      </c>
      <c r="C268" s="6" t="s">
        <v>56</v>
      </c>
      <c r="D268" s="327">
        <v>200.2</v>
      </c>
      <c r="E268" s="327">
        <v>200.20294999999999</v>
      </c>
      <c r="F268" s="327">
        <v>200.20294999999999</v>
      </c>
      <c r="G268" s="660">
        <f t="shared" si="108"/>
        <v>100</v>
      </c>
      <c r="H268" s="327">
        <f t="shared" si="109"/>
        <v>0</v>
      </c>
    </row>
    <row r="269" spans="1:8" ht="79.2" x14ac:dyDescent="0.25">
      <c r="A269" s="7" t="s">
        <v>576</v>
      </c>
      <c r="B269" s="7"/>
      <c r="C269" s="6" t="s">
        <v>600</v>
      </c>
      <c r="D269" s="233">
        <f>D270</f>
        <v>1967.8</v>
      </c>
      <c r="E269" s="233">
        <f t="shared" ref="E269:F269" si="144">E270</f>
        <v>1967.7970499999999</v>
      </c>
      <c r="F269" s="233">
        <f t="shared" si="144"/>
        <v>1967.7896499999999</v>
      </c>
      <c r="G269" s="658">
        <f t="shared" si="108"/>
        <v>99.999623944959154</v>
      </c>
      <c r="H269" s="233">
        <f t="shared" si="109"/>
        <v>7.3999999999614374E-3</v>
      </c>
    </row>
    <row r="270" spans="1:8" ht="26.25" customHeight="1" x14ac:dyDescent="0.25">
      <c r="A270" s="61"/>
      <c r="B270" s="7" t="s">
        <v>57</v>
      </c>
      <c r="C270" s="6" t="s">
        <v>56</v>
      </c>
      <c r="D270" s="233">
        <v>1967.8</v>
      </c>
      <c r="E270" s="233">
        <v>1967.7970499999999</v>
      </c>
      <c r="F270" s="233">
        <v>1967.7896499999999</v>
      </c>
      <c r="G270" s="658">
        <f t="shared" si="108"/>
        <v>99.999623944959154</v>
      </c>
      <c r="H270" s="233">
        <f t="shared" si="109"/>
        <v>7.3999999999614374E-3</v>
      </c>
    </row>
    <row r="271" spans="1:8" ht="52.8" x14ac:dyDescent="0.25">
      <c r="A271" s="7" t="s">
        <v>677</v>
      </c>
      <c r="B271" s="7"/>
      <c r="C271" s="6" t="s">
        <v>584</v>
      </c>
      <c r="D271" s="233">
        <f t="shared" ref="D271:F271" si="145">D272</f>
        <v>500</v>
      </c>
      <c r="E271" s="233">
        <f t="shared" si="145"/>
        <v>1602.1766</v>
      </c>
      <c r="F271" s="233">
        <f t="shared" si="145"/>
        <v>1602.1766</v>
      </c>
      <c r="G271" s="658">
        <f t="shared" si="108"/>
        <v>100</v>
      </c>
      <c r="H271" s="233">
        <f t="shared" si="109"/>
        <v>0</v>
      </c>
    </row>
    <row r="272" spans="1:8" ht="26.4" x14ac:dyDescent="0.25">
      <c r="A272" s="61"/>
      <c r="B272" s="7" t="s">
        <v>57</v>
      </c>
      <c r="C272" s="6" t="s">
        <v>56</v>
      </c>
      <c r="D272" s="233">
        <f>D275</f>
        <v>500</v>
      </c>
      <c r="E272" s="233">
        <f>E275+E273+E274</f>
        <v>1602.1766</v>
      </c>
      <c r="F272" s="233">
        <f>F275+F273+F274</f>
        <v>1602.1766</v>
      </c>
      <c r="G272" s="658">
        <f t="shared" si="108"/>
        <v>100</v>
      </c>
      <c r="H272" s="233">
        <f t="shared" si="109"/>
        <v>0</v>
      </c>
    </row>
    <row r="273" spans="1:8" x14ac:dyDescent="0.25">
      <c r="A273" s="398"/>
      <c r="B273" s="342"/>
      <c r="C273" s="391" t="s">
        <v>109</v>
      </c>
      <c r="D273" s="445"/>
      <c r="E273" s="684">
        <v>826.63244999999995</v>
      </c>
      <c r="F273" s="684">
        <v>826.63244999999995</v>
      </c>
      <c r="G273" s="685">
        <f t="shared" si="108"/>
        <v>100</v>
      </c>
      <c r="H273" s="233">
        <f t="shared" si="109"/>
        <v>0</v>
      </c>
    </row>
    <row r="274" spans="1:8" x14ac:dyDescent="0.25">
      <c r="A274" s="398"/>
      <c r="B274" s="342"/>
      <c r="C274" s="391" t="s">
        <v>108</v>
      </c>
      <c r="D274" s="445"/>
      <c r="E274" s="684">
        <v>275.54415</v>
      </c>
      <c r="F274" s="684">
        <v>275.54415</v>
      </c>
      <c r="G274" s="685">
        <f t="shared" si="108"/>
        <v>100</v>
      </c>
      <c r="H274" s="233">
        <f t="shared" si="109"/>
        <v>0</v>
      </c>
    </row>
    <row r="275" spans="1:8" x14ac:dyDescent="0.25">
      <c r="A275" s="61"/>
      <c r="B275" s="7"/>
      <c r="C275" s="6" t="s">
        <v>106</v>
      </c>
      <c r="D275" s="233">
        <f>251.559+248.441</f>
        <v>500</v>
      </c>
      <c r="E275" s="233">
        <f t="shared" ref="E275:F275" si="146">251.559+248.441</f>
        <v>500</v>
      </c>
      <c r="F275" s="233">
        <f t="shared" si="146"/>
        <v>500</v>
      </c>
      <c r="G275" s="658">
        <f t="shared" si="108"/>
        <v>100</v>
      </c>
      <c r="H275" s="233">
        <f t="shared" si="109"/>
        <v>0</v>
      </c>
    </row>
    <row r="276" spans="1:8" ht="39.6" x14ac:dyDescent="0.25">
      <c r="A276" s="7" t="s">
        <v>678</v>
      </c>
      <c r="B276" s="7"/>
      <c r="C276" s="6" t="s">
        <v>743</v>
      </c>
      <c r="D276" s="239">
        <f>D277</f>
        <v>46.2</v>
      </c>
      <c r="E276" s="239">
        <f t="shared" ref="E276:F276" si="147">E277</f>
        <v>46.2</v>
      </c>
      <c r="F276" s="239">
        <f t="shared" si="147"/>
        <v>0</v>
      </c>
      <c r="G276" s="670">
        <f t="shared" si="108"/>
        <v>0</v>
      </c>
      <c r="H276" s="239">
        <f t="shared" si="109"/>
        <v>46.2</v>
      </c>
    </row>
    <row r="277" spans="1:8" ht="26.4" x14ac:dyDescent="0.25">
      <c r="A277" s="7"/>
      <c r="B277" s="7" t="s">
        <v>12</v>
      </c>
      <c r="C277" s="6" t="s">
        <v>11</v>
      </c>
      <c r="D277" s="239">
        <v>46.2</v>
      </c>
      <c r="E277" s="239">
        <v>46.2</v>
      </c>
      <c r="F277" s="239">
        <v>0</v>
      </c>
      <c r="G277" s="670">
        <f t="shared" si="108"/>
        <v>0</v>
      </c>
      <c r="H277" s="239">
        <f t="shared" si="109"/>
        <v>46.2</v>
      </c>
    </row>
    <row r="278" spans="1:8" ht="26.4" x14ac:dyDescent="0.25">
      <c r="A278" s="7" t="s">
        <v>839</v>
      </c>
      <c r="B278" s="326"/>
      <c r="C278" s="330" t="s">
        <v>840</v>
      </c>
      <c r="D278" s="331">
        <f>D279</f>
        <v>432</v>
      </c>
      <c r="E278" s="331">
        <f t="shared" ref="E278:F278" si="148">E279</f>
        <v>432</v>
      </c>
      <c r="F278" s="331">
        <f t="shared" si="148"/>
        <v>432</v>
      </c>
      <c r="G278" s="671">
        <f t="shared" si="108"/>
        <v>100</v>
      </c>
      <c r="H278" s="331">
        <f t="shared" si="109"/>
        <v>0</v>
      </c>
    </row>
    <row r="279" spans="1:8" ht="23.25" customHeight="1" x14ac:dyDescent="0.25">
      <c r="A279" s="326"/>
      <c r="B279" s="7" t="s">
        <v>57</v>
      </c>
      <c r="C279" s="6" t="s">
        <v>56</v>
      </c>
      <c r="D279" s="331">
        <v>432</v>
      </c>
      <c r="E279" s="331">
        <v>432</v>
      </c>
      <c r="F279" s="331">
        <v>432</v>
      </c>
      <c r="G279" s="671">
        <f t="shared" si="108"/>
        <v>100</v>
      </c>
      <c r="H279" s="331">
        <f t="shared" si="109"/>
        <v>0</v>
      </c>
    </row>
    <row r="280" spans="1:8" ht="26.4" x14ac:dyDescent="0.25">
      <c r="A280" s="285" t="s">
        <v>803</v>
      </c>
      <c r="B280" s="285"/>
      <c r="C280" s="289" t="s">
        <v>804</v>
      </c>
      <c r="D280" s="232">
        <f t="shared" ref="D280:F280" si="149">D281</f>
        <v>68426.766879999996</v>
      </c>
      <c r="E280" s="232">
        <f t="shared" si="149"/>
        <v>84188.279609999998</v>
      </c>
      <c r="F280" s="232">
        <f t="shared" si="149"/>
        <v>4096.1120499999997</v>
      </c>
      <c r="G280" s="657">
        <f t="shared" si="108"/>
        <v>4.8654184038147967</v>
      </c>
      <c r="H280" s="232">
        <f t="shared" si="109"/>
        <v>80092.167560000002</v>
      </c>
    </row>
    <row r="281" spans="1:8" ht="26.4" x14ac:dyDescent="0.25">
      <c r="A281" s="37" t="s">
        <v>805</v>
      </c>
      <c r="B281" s="23"/>
      <c r="C281" s="12" t="s">
        <v>599</v>
      </c>
      <c r="D281" s="233">
        <v>68426.766879999996</v>
      </c>
      <c r="E281" s="233">
        <f>E282</f>
        <v>84188.279609999998</v>
      </c>
      <c r="F281" s="233">
        <f>F282</f>
        <v>4096.1120499999997</v>
      </c>
      <c r="G281" s="658">
        <f t="shared" ref="G281:G332" si="150">F281/E281*100</f>
        <v>4.8654184038147967</v>
      </c>
      <c r="H281" s="233">
        <f t="shared" ref="H281:H332" si="151">E281-F281</f>
        <v>80092.167560000002</v>
      </c>
    </row>
    <row r="282" spans="1:8" ht="27" x14ac:dyDescent="0.3">
      <c r="A282" s="62"/>
      <c r="B282" s="140"/>
      <c r="C282" s="141" t="s">
        <v>277</v>
      </c>
      <c r="D282" s="233">
        <v>68426.766879999996</v>
      </c>
      <c r="E282" s="233">
        <f>E283</f>
        <v>84188.279609999998</v>
      </c>
      <c r="F282" s="233">
        <f>F283</f>
        <v>4096.1120499999997</v>
      </c>
      <c r="G282" s="658">
        <f t="shared" si="150"/>
        <v>4.8654184038147967</v>
      </c>
      <c r="H282" s="233">
        <f t="shared" si="151"/>
        <v>80092.167560000002</v>
      </c>
    </row>
    <row r="283" spans="1:8" ht="39.6" x14ac:dyDescent="0.25">
      <c r="A283" s="7"/>
      <c r="B283" s="75" t="s">
        <v>260</v>
      </c>
      <c r="C283" s="6" t="s">
        <v>259</v>
      </c>
      <c r="D283" s="233">
        <v>68426.766879999996</v>
      </c>
      <c r="E283" s="233">
        <f>SUM(E284:E285)</f>
        <v>84188.279609999998</v>
      </c>
      <c r="F283" s="233">
        <f>SUM(F284:F285)</f>
        <v>4096.1120499999997</v>
      </c>
      <c r="G283" s="658">
        <f t="shared" si="150"/>
        <v>4.8654184038147967</v>
      </c>
      <c r="H283" s="233">
        <f t="shared" si="151"/>
        <v>80092.167560000002</v>
      </c>
    </row>
    <row r="284" spans="1:8" x14ac:dyDescent="0.25">
      <c r="A284" s="7"/>
      <c r="B284" s="75"/>
      <c r="C284" s="6" t="s">
        <v>108</v>
      </c>
      <c r="D284" s="233">
        <v>68362.5</v>
      </c>
      <c r="E284" s="233">
        <v>84124.012730000002</v>
      </c>
      <c r="F284" s="233">
        <v>4096.1120499999997</v>
      </c>
      <c r="G284" s="658">
        <f t="shared" si="150"/>
        <v>4.8691353598961875</v>
      </c>
      <c r="H284" s="233">
        <f t="shared" si="151"/>
        <v>80027.900680000006</v>
      </c>
    </row>
    <row r="285" spans="1:8" x14ac:dyDescent="0.25">
      <c r="A285" s="61"/>
      <c r="B285" s="7"/>
      <c r="C285" s="6" t="s">
        <v>106</v>
      </c>
      <c r="D285" s="233">
        <v>64.26688</v>
      </c>
      <c r="E285" s="233">
        <v>64.26688</v>
      </c>
      <c r="F285" s="233">
        <v>0</v>
      </c>
      <c r="G285" s="658">
        <f t="shared" si="150"/>
        <v>0</v>
      </c>
      <c r="H285" s="233">
        <f t="shared" si="151"/>
        <v>64.26688</v>
      </c>
    </row>
    <row r="286" spans="1:8" x14ac:dyDescent="0.25">
      <c r="A286" s="31" t="s">
        <v>144</v>
      </c>
      <c r="B286" s="31"/>
      <c r="C286" s="52" t="s">
        <v>143</v>
      </c>
      <c r="D286" s="231">
        <f>D287</f>
        <v>298.5</v>
      </c>
      <c r="E286" s="231">
        <f t="shared" ref="E286:F287" si="152">E287</f>
        <v>298.5</v>
      </c>
      <c r="F286" s="231">
        <f t="shared" si="152"/>
        <v>298.5</v>
      </c>
      <c r="G286" s="656">
        <f t="shared" si="150"/>
        <v>100</v>
      </c>
      <c r="H286" s="231">
        <f t="shared" si="151"/>
        <v>0</v>
      </c>
    </row>
    <row r="287" spans="1:8" ht="26.4" x14ac:dyDescent="0.25">
      <c r="A287" s="190" t="s">
        <v>142</v>
      </c>
      <c r="B287" s="190"/>
      <c r="C287" s="191" t="s">
        <v>141</v>
      </c>
      <c r="D287" s="232">
        <f>D288</f>
        <v>298.5</v>
      </c>
      <c r="E287" s="232">
        <f t="shared" si="152"/>
        <v>298.5</v>
      </c>
      <c r="F287" s="232">
        <f t="shared" si="152"/>
        <v>298.5</v>
      </c>
      <c r="G287" s="657">
        <f t="shared" si="150"/>
        <v>100</v>
      </c>
      <c r="H287" s="232">
        <f t="shared" si="151"/>
        <v>0</v>
      </c>
    </row>
    <row r="288" spans="1:8" ht="118.8" x14ac:dyDescent="0.25">
      <c r="A288" s="7" t="s">
        <v>140</v>
      </c>
      <c r="B288" s="7"/>
      <c r="C288" s="6" t="s">
        <v>139</v>
      </c>
      <c r="D288" s="233">
        <f>D289</f>
        <v>298.5</v>
      </c>
      <c r="E288" s="233">
        <f t="shared" ref="E288:F288" si="153">E289</f>
        <v>298.5</v>
      </c>
      <c r="F288" s="233">
        <f t="shared" si="153"/>
        <v>298.5</v>
      </c>
      <c r="G288" s="658">
        <f t="shared" si="150"/>
        <v>100</v>
      </c>
      <c r="H288" s="233">
        <f t="shared" si="151"/>
        <v>0</v>
      </c>
    </row>
    <row r="289" spans="1:8" ht="26.4" x14ac:dyDescent="0.25">
      <c r="A289" s="7"/>
      <c r="B289" s="7" t="s">
        <v>57</v>
      </c>
      <c r="C289" s="6" t="s">
        <v>56</v>
      </c>
      <c r="D289" s="233">
        <v>298.5</v>
      </c>
      <c r="E289" s="233">
        <v>298.5</v>
      </c>
      <c r="F289" s="233">
        <v>298.5</v>
      </c>
      <c r="G289" s="658">
        <f t="shared" si="150"/>
        <v>100</v>
      </c>
      <c r="H289" s="233">
        <f t="shared" si="151"/>
        <v>0</v>
      </c>
    </row>
    <row r="290" spans="1:8" x14ac:dyDescent="0.25">
      <c r="A290" s="31" t="s">
        <v>63</v>
      </c>
      <c r="B290" s="31"/>
      <c r="C290" s="52" t="s">
        <v>62</v>
      </c>
      <c r="D290" s="231">
        <f t="shared" ref="D290:F292" si="154">D291</f>
        <v>1139.5</v>
      </c>
      <c r="E290" s="231">
        <f t="shared" si="154"/>
        <v>1139.5</v>
      </c>
      <c r="F290" s="231">
        <f t="shared" si="154"/>
        <v>1139.5</v>
      </c>
      <c r="G290" s="656">
        <f t="shared" si="150"/>
        <v>100</v>
      </c>
      <c r="H290" s="231">
        <f t="shared" si="151"/>
        <v>0</v>
      </c>
    </row>
    <row r="291" spans="1:8" ht="66" x14ac:dyDescent="0.25">
      <c r="A291" s="190" t="s">
        <v>61</v>
      </c>
      <c r="B291" s="190"/>
      <c r="C291" s="191" t="s">
        <v>60</v>
      </c>
      <c r="D291" s="232">
        <f t="shared" si="154"/>
        <v>1139.5</v>
      </c>
      <c r="E291" s="232">
        <f t="shared" si="154"/>
        <v>1139.5</v>
      </c>
      <c r="F291" s="232">
        <f t="shared" si="154"/>
        <v>1139.5</v>
      </c>
      <c r="G291" s="657">
        <f t="shared" si="150"/>
        <v>100</v>
      </c>
      <c r="H291" s="232">
        <f t="shared" si="151"/>
        <v>0</v>
      </c>
    </row>
    <row r="292" spans="1:8" ht="26.4" x14ac:dyDescent="0.25">
      <c r="A292" s="7" t="s">
        <v>59</v>
      </c>
      <c r="B292" s="7"/>
      <c r="C292" s="6" t="s">
        <v>58</v>
      </c>
      <c r="D292" s="233">
        <f t="shared" si="154"/>
        <v>1139.5</v>
      </c>
      <c r="E292" s="233">
        <f t="shared" si="154"/>
        <v>1139.5</v>
      </c>
      <c r="F292" s="233">
        <f t="shared" si="154"/>
        <v>1139.5</v>
      </c>
      <c r="G292" s="658">
        <f t="shared" si="150"/>
        <v>100</v>
      </c>
      <c r="H292" s="233">
        <f t="shared" si="151"/>
        <v>0</v>
      </c>
    </row>
    <row r="293" spans="1:8" ht="26.4" x14ac:dyDescent="0.25">
      <c r="A293" s="7"/>
      <c r="B293" s="7" t="s">
        <v>57</v>
      </c>
      <c r="C293" s="6" t="s">
        <v>56</v>
      </c>
      <c r="D293" s="233">
        <f>1042.6+96.9</f>
        <v>1139.5</v>
      </c>
      <c r="E293" s="233">
        <f t="shared" ref="E293:F293" si="155">1042.6+96.9</f>
        <v>1139.5</v>
      </c>
      <c r="F293" s="233">
        <f t="shared" si="155"/>
        <v>1139.5</v>
      </c>
      <c r="G293" s="658">
        <f t="shared" si="150"/>
        <v>100</v>
      </c>
      <c r="H293" s="233">
        <f t="shared" si="151"/>
        <v>0</v>
      </c>
    </row>
    <row r="294" spans="1:8" s="1" customFormat="1" ht="40.200000000000003" x14ac:dyDescent="0.3">
      <c r="A294" s="206" t="s">
        <v>73</v>
      </c>
      <c r="B294" s="206"/>
      <c r="C294" s="209" t="s">
        <v>72</v>
      </c>
      <c r="D294" s="230">
        <f>D295+D304</f>
        <v>2337.3541</v>
      </c>
      <c r="E294" s="230">
        <f>E295+E304</f>
        <v>6837.3541000000005</v>
      </c>
      <c r="F294" s="230">
        <f>F295+F304</f>
        <v>6837.3541000000005</v>
      </c>
      <c r="G294" s="655">
        <f t="shared" si="150"/>
        <v>100</v>
      </c>
      <c r="H294" s="230">
        <f t="shared" si="151"/>
        <v>0</v>
      </c>
    </row>
    <row r="295" spans="1:8" s="1" customFormat="1" ht="53.4" x14ac:dyDescent="0.3">
      <c r="A295" s="190" t="s">
        <v>71</v>
      </c>
      <c r="B295" s="197"/>
      <c r="C295" s="191" t="s">
        <v>160</v>
      </c>
      <c r="D295" s="232">
        <f>D296+D298+D302</f>
        <v>2337.3541</v>
      </c>
      <c r="E295" s="232">
        <f t="shared" ref="E295:F295" si="156">E296+E298+E302</f>
        <v>2837.3541</v>
      </c>
      <c r="F295" s="232">
        <f t="shared" si="156"/>
        <v>2837.3541</v>
      </c>
      <c r="G295" s="657">
        <f t="shared" si="150"/>
        <v>100</v>
      </c>
      <c r="H295" s="232">
        <f t="shared" si="151"/>
        <v>0</v>
      </c>
    </row>
    <row r="296" spans="1:8" s="1" customFormat="1" ht="66.599999999999994" x14ac:dyDescent="0.3">
      <c r="A296" s="7" t="s">
        <v>69</v>
      </c>
      <c r="B296" s="7"/>
      <c r="C296" s="6" t="s">
        <v>601</v>
      </c>
      <c r="D296" s="233">
        <f>D297</f>
        <v>1677.6</v>
      </c>
      <c r="E296" s="233">
        <f t="shared" ref="E296:F296" si="157">E297</f>
        <v>1677.6</v>
      </c>
      <c r="F296" s="233">
        <f t="shared" si="157"/>
        <v>1677.6</v>
      </c>
      <c r="G296" s="658">
        <f t="shared" si="150"/>
        <v>100</v>
      </c>
      <c r="H296" s="233">
        <f t="shared" si="151"/>
        <v>0</v>
      </c>
    </row>
    <row r="297" spans="1:8" s="1" customFormat="1" ht="27" x14ac:dyDescent="0.3">
      <c r="A297" s="7"/>
      <c r="B297" s="7" t="s">
        <v>57</v>
      </c>
      <c r="C297" s="6" t="s">
        <v>56</v>
      </c>
      <c r="D297" s="233">
        <f>1634+43.6</f>
        <v>1677.6</v>
      </c>
      <c r="E297" s="233">
        <f t="shared" ref="E297:F297" si="158">1634+43.6</f>
        <v>1677.6</v>
      </c>
      <c r="F297" s="233">
        <f t="shared" si="158"/>
        <v>1677.6</v>
      </c>
      <c r="G297" s="658">
        <f t="shared" si="150"/>
        <v>100</v>
      </c>
      <c r="H297" s="233">
        <f t="shared" si="151"/>
        <v>0</v>
      </c>
    </row>
    <row r="298" spans="1:8" s="1" customFormat="1" ht="14.4" x14ac:dyDescent="0.3">
      <c r="A298" s="7" t="s">
        <v>159</v>
      </c>
      <c r="B298" s="7"/>
      <c r="C298" s="6" t="s">
        <v>158</v>
      </c>
      <c r="D298" s="233">
        <f t="shared" ref="D298:F298" si="159">D299</f>
        <v>299.2</v>
      </c>
      <c r="E298" s="233">
        <f t="shared" si="159"/>
        <v>799.2</v>
      </c>
      <c r="F298" s="233">
        <f t="shared" si="159"/>
        <v>799.2</v>
      </c>
      <c r="G298" s="658">
        <f t="shared" si="150"/>
        <v>100</v>
      </c>
      <c r="H298" s="233">
        <f t="shared" si="151"/>
        <v>0</v>
      </c>
    </row>
    <row r="299" spans="1:8" s="1" customFormat="1" ht="27" x14ac:dyDescent="0.3">
      <c r="A299" s="7"/>
      <c r="B299" s="7" t="s">
        <v>57</v>
      </c>
      <c r="C299" s="6" t="s">
        <v>56</v>
      </c>
      <c r="D299" s="233">
        <f>D301</f>
        <v>299.2</v>
      </c>
      <c r="E299" s="233">
        <f>E301+E300</f>
        <v>799.2</v>
      </c>
      <c r="F299" s="233">
        <f>F301+F300</f>
        <v>799.2</v>
      </c>
      <c r="G299" s="658">
        <f t="shared" si="150"/>
        <v>100</v>
      </c>
      <c r="H299" s="233">
        <f t="shared" si="151"/>
        <v>0</v>
      </c>
    </row>
    <row r="300" spans="1:8" s="1" customFormat="1" ht="14.4" x14ac:dyDescent="0.3">
      <c r="A300" s="342"/>
      <c r="B300" s="342"/>
      <c r="C300" s="6" t="s">
        <v>879</v>
      </c>
      <c r="D300" s="676"/>
      <c r="E300" s="676">
        <v>500</v>
      </c>
      <c r="F300" s="676">
        <v>500</v>
      </c>
      <c r="G300" s="658">
        <f t="shared" ref="G300" si="160">F300/E300*100</f>
        <v>100</v>
      </c>
      <c r="H300" s="233">
        <f t="shared" ref="H300" si="161">E300-F300</f>
        <v>0</v>
      </c>
    </row>
    <row r="301" spans="1:8" s="1" customFormat="1" ht="14.4" x14ac:dyDescent="0.3">
      <c r="A301" s="7"/>
      <c r="B301" s="7"/>
      <c r="C301" s="6" t="s">
        <v>106</v>
      </c>
      <c r="D301" s="233">
        <v>299.2</v>
      </c>
      <c r="E301" s="233">
        <v>299.2</v>
      </c>
      <c r="F301" s="233">
        <v>299.2</v>
      </c>
      <c r="G301" s="658">
        <f t="shared" si="150"/>
        <v>100</v>
      </c>
      <c r="H301" s="233">
        <f t="shared" si="151"/>
        <v>0</v>
      </c>
    </row>
    <row r="302" spans="1:8" s="1" customFormat="1" ht="27" x14ac:dyDescent="0.3">
      <c r="A302" s="7" t="s">
        <v>755</v>
      </c>
      <c r="B302" s="7"/>
      <c r="C302" s="6" t="s">
        <v>756</v>
      </c>
      <c r="D302" s="233">
        <f>D303</f>
        <v>360.55410000000001</v>
      </c>
      <c r="E302" s="233">
        <f t="shared" ref="E302:F302" si="162">E303</f>
        <v>360.55410000000001</v>
      </c>
      <c r="F302" s="233">
        <f t="shared" si="162"/>
        <v>360.55410000000001</v>
      </c>
      <c r="G302" s="658">
        <f t="shared" si="150"/>
        <v>100</v>
      </c>
      <c r="H302" s="233">
        <f t="shared" si="151"/>
        <v>0</v>
      </c>
    </row>
    <row r="303" spans="1:8" s="1" customFormat="1" ht="27" x14ac:dyDescent="0.3">
      <c r="A303" s="7"/>
      <c r="B303" s="7" t="s">
        <v>57</v>
      </c>
      <c r="C303" s="6" t="s">
        <v>56</v>
      </c>
      <c r="D303" s="233">
        <v>360.55410000000001</v>
      </c>
      <c r="E303" s="233">
        <v>360.55410000000001</v>
      </c>
      <c r="F303" s="233">
        <v>360.55410000000001</v>
      </c>
      <c r="G303" s="658">
        <f t="shared" si="150"/>
        <v>100</v>
      </c>
      <c r="H303" s="233">
        <f t="shared" si="151"/>
        <v>0</v>
      </c>
    </row>
    <row r="304" spans="1:8" s="1" customFormat="1" ht="53.4" x14ac:dyDescent="0.3">
      <c r="A304" s="413" t="s">
        <v>880</v>
      </c>
      <c r="B304" s="413"/>
      <c r="C304" s="414" t="s">
        <v>881</v>
      </c>
      <c r="D304" s="415">
        <f t="shared" ref="D304:F305" si="163">D305</f>
        <v>0</v>
      </c>
      <c r="E304" s="415">
        <f t="shared" si="163"/>
        <v>4000</v>
      </c>
      <c r="F304" s="415">
        <f t="shared" si="163"/>
        <v>4000</v>
      </c>
      <c r="G304" s="416">
        <f t="shared" si="150"/>
        <v>100</v>
      </c>
      <c r="H304" s="232">
        <f t="shared" si="151"/>
        <v>0</v>
      </c>
    </row>
    <row r="305" spans="1:8" s="1" customFormat="1" ht="53.4" x14ac:dyDescent="0.3">
      <c r="A305" s="342" t="s">
        <v>883</v>
      </c>
      <c r="B305" s="342"/>
      <c r="C305" s="391" t="s">
        <v>882</v>
      </c>
      <c r="D305" s="344">
        <f t="shared" si="163"/>
        <v>0</v>
      </c>
      <c r="E305" s="344">
        <f t="shared" si="163"/>
        <v>4000</v>
      </c>
      <c r="F305" s="344">
        <f t="shared" si="163"/>
        <v>4000</v>
      </c>
      <c r="G305" s="357">
        <f t="shared" si="150"/>
        <v>100</v>
      </c>
      <c r="H305" s="676">
        <f t="shared" si="151"/>
        <v>0</v>
      </c>
    </row>
    <row r="306" spans="1:8" s="1" customFormat="1" ht="27" x14ac:dyDescent="0.3">
      <c r="A306" s="342"/>
      <c r="B306" s="342" t="s">
        <v>57</v>
      </c>
      <c r="C306" s="391" t="s">
        <v>56</v>
      </c>
      <c r="D306" s="344">
        <f>D307+D308</f>
        <v>0</v>
      </c>
      <c r="E306" s="344">
        <f>E307+E308</f>
        <v>4000</v>
      </c>
      <c r="F306" s="344">
        <f>F307+F308</f>
        <v>4000</v>
      </c>
      <c r="G306" s="357">
        <f t="shared" si="150"/>
        <v>100</v>
      </c>
      <c r="H306" s="676">
        <f t="shared" si="151"/>
        <v>0</v>
      </c>
    </row>
    <row r="307" spans="1:8" s="1" customFormat="1" ht="14.4" x14ac:dyDescent="0.3">
      <c r="A307" s="342"/>
      <c r="B307" s="342"/>
      <c r="C307" s="391" t="s">
        <v>157</v>
      </c>
      <c r="D307" s="392">
        <v>0</v>
      </c>
      <c r="E307" s="392">
        <v>3000</v>
      </c>
      <c r="F307" s="392">
        <v>3000</v>
      </c>
      <c r="G307" s="393">
        <f t="shared" si="150"/>
        <v>100</v>
      </c>
      <c r="H307" s="676">
        <f t="shared" si="151"/>
        <v>0</v>
      </c>
    </row>
    <row r="308" spans="1:8" s="1" customFormat="1" ht="14.4" x14ac:dyDescent="0.3">
      <c r="A308" s="342"/>
      <c r="B308" s="342"/>
      <c r="C308" s="391" t="s">
        <v>156</v>
      </c>
      <c r="D308" s="344">
        <v>0</v>
      </c>
      <c r="E308" s="344">
        <v>1000</v>
      </c>
      <c r="F308" s="344">
        <v>1000</v>
      </c>
      <c r="G308" s="357">
        <f t="shared" si="150"/>
        <v>100</v>
      </c>
      <c r="H308" s="676">
        <f t="shared" si="151"/>
        <v>0</v>
      </c>
    </row>
    <row r="309" spans="1:8" s="1" customFormat="1" ht="53.4" x14ac:dyDescent="0.3">
      <c r="A309" s="206" t="s">
        <v>470</v>
      </c>
      <c r="B309" s="206"/>
      <c r="C309" s="209" t="s">
        <v>469</v>
      </c>
      <c r="D309" s="230">
        <f>D310+D317</f>
        <v>818.8</v>
      </c>
      <c r="E309" s="230">
        <f t="shared" ref="E309:F309" si="164">E310+E317</f>
        <v>818.8</v>
      </c>
      <c r="F309" s="230">
        <f t="shared" si="164"/>
        <v>801.99221999999986</v>
      </c>
      <c r="G309" s="655">
        <f t="shared" si="150"/>
        <v>97.947266731802628</v>
      </c>
      <c r="H309" s="230">
        <f t="shared" si="151"/>
        <v>16.807780000000093</v>
      </c>
    </row>
    <row r="310" spans="1:8" s="1" customFormat="1" ht="65.25" customHeight="1" x14ac:dyDescent="0.3">
      <c r="A310" s="31" t="s">
        <v>468</v>
      </c>
      <c r="B310" s="31"/>
      <c r="C310" s="52" t="s">
        <v>679</v>
      </c>
      <c r="D310" s="231">
        <f>D311</f>
        <v>536.69999999999993</v>
      </c>
      <c r="E310" s="231">
        <f t="shared" ref="E310:F310" si="165">E311</f>
        <v>536.69999999999993</v>
      </c>
      <c r="F310" s="231">
        <f t="shared" si="165"/>
        <v>536.66221999999993</v>
      </c>
      <c r="G310" s="656">
        <f t="shared" si="150"/>
        <v>99.99296068567169</v>
      </c>
      <c r="H310" s="231">
        <f t="shared" si="151"/>
        <v>3.7779999999997926E-2</v>
      </c>
    </row>
    <row r="311" spans="1:8" s="1" customFormat="1" ht="61.5" customHeight="1" x14ac:dyDescent="0.3">
      <c r="A311" s="190" t="s">
        <v>467</v>
      </c>
      <c r="B311" s="197"/>
      <c r="C311" s="191" t="s">
        <v>680</v>
      </c>
      <c r="D311" s="232">
        <f>D312+D314</f>
        <v>536.69999999999993</v>
      </c>
      <c r="E311" s="232">
        <f t="shared" ref="E311:F311" si="166">E312+E314</f>
        <v>536.69999999999993</v>
      </c>
      <c r="F311" s="232">
        <f t="shared" si="166"/>
        <v>536.66221999999993</v>
      </c>
      <c r="G311" s="657">
        <f t="shared" si="150"/>
        <v>99.99296068567169</v>
      </c>
      <c r="H311" s="232">
        <f t="shared" si="151"/>
        <v>3.7779999999997926E-2</v>
      </c>
    </row>
    <row r="312" spans="1:8" s="1" customFormat="1" ht="53.4" x14ac:dyDescent="0.3">
      <c r="A312" s="7" t="s">
        <v>466</v>
      </c>
      <c r="B312" s="7"/>
      <c r="C312" s="6" t="s">
        <v>465</v>
      </c>
      <c r="D312" s="233">
        <f>D313</f>
        <v>5.9</v>
      </c>
      <c r="E312" s="233">
        <f t="shared" ref="E312:F312" si="167">E313</f>
        <v>3.5377800000000001</v>
      </c>
      <c r="F312" s="233">
        <f t="shared" si="167"/>
        <v>3.5</v>
      </c>
      <c r="G312" s="658">
        <f t="shared" si="150"/>
        <v>98.932098660742042</v>
      </c>
      <c r="H312" s="233">
        <f t="shared" si="151"/>
        <v>3.7780000000000147E-2</v>
      </c>
    </row>
    <row r="313" spans="1:8" s="1" customFormat="1" ht="27" x14ac:dyDescent="0.3">
      <c r="A313" s="7"/>
      <c r="B313" s="7" t="s">
        <v>12</v>
      </c>
      <c r="C313" s="6" t="s">
        <v>11</v>
      </c>
      <c r="D313" s="233">
        <v>5.9</v>
      </c>
      <c r="E313" s="233">
        <v>3.5377800000000001</v>
      </c>
      <c r="F313" s="233">
        <v>3.5</v>
      </c>
      <c r="G313" s="658">
        <f t="shared" si="150"/>
        <v>98.932098660742042</v>
      </c>
      <c r="H313" s="233">
        <f t="shared" si="151"/>
        <v>3.7780000000000147E-2</v>
      </c>
    </row>
    <row r="314" spans="1:8" s="1" customFormat="1" ht="79.8" x14ac:dyDescent="0.3">
      <c r="A314" s="7" t="s">
        <v>464</v>
      </c>
      <c r="B314" s="7"/>
      <c r="C314" s="6" t="s">
        <v>463</v>
      </c>
      <c r="D314" s="233">
        <f>D315</f>
        <v>530.79999999999995</v>
      </c>
      <c r="E314" s="233">
        <f>E315+E316</f>
        <v>533.16221999999993</v>
      </c>
      <c r="F314" s="233">
        <f>F315+F316</f>
        <v>533.16221999999993</v>
      </c>
      <c r="G314" s="658">
        <f t="shared" si="150"/>
        <v>100</v>
      </c>
      <c r="H314" s="233">
        <f t="shared" si="151"/>
        <v>0</v>
      </c>
    </row>
    <row r="315" spans="1:8" s="1" customFormat="1" ht="27" x14ac:dyDescent="0.3">
      <c r="A315" s="7"/>
      <c r="B315" s="7" t="s">
        <v>12</v>
      </c>
      <c r="C315" s="6" t="s">
        <v>11</v>
      </c>
      <c r="D315" s="233">
        <v>530.79999999999995</v>
      </c>
      <c r="E315" s="233">
        <v>508.16221999999999</v>
      </c>
      <c r="F315" s="233">
        <v>508.16221999999999</v>
      </c>
      <c r="G315" s="658">
        <f t="shared" si="150"/>
        <v>100</v>
      </c>
      <c r="H315" s="233">
        <f t="shared" si="151"/>
        <v>0</v>
      </c>
    </row>
    <row r="316" spans="1:8" s="1" customFormat="1" ht="27" x14ac:dyDescent="0.3">
      <c r="A316" s="342"/>
      <c r="B316" s="342" t="s">
        <v>57</v>
      </c>
      <c r="C316" s="391" t="s">
        <v>56</v>
      </c>
      <c r="D316" s="676"/>
      <c r="E316" s="676">
        <v>25</v>
      </c>
      <c r="F316" s="676">
        <v>25</v>
      </c>
      <c r="G316" s="658">
        <f t="shared" ref="G316" si="168">F316/E316*100</f>
        <v>100</v>
      </c>
      <c r="H316" s="233">
        <f t="shared" ref="H316" si="169">E316-F316</f>
        <v>0</v>
      </c>
    </row>
    <row r="317" spans="1:8" s="1" customFormat="1" ht="40.5" customHeight="1" x14ac:dyDescent="0.3">
      <c r="A317" s="31" t="s">
        <v>462</v>
      </c>
      <c r="B317" s="31"/>
      <c r="C317" s="52" t="s">
        <v>461</v>
      </c>
      <c r="D317" s="231">
        <f>D318</f>
        <v>282.10000000000002</v>
      </c>
      <c r="E317" s="231">
        <f t="shared" ref="E317:F317" si="170">E318</f>
        <v>282.10000000000002</v>
      </c>
      <c r="F317" s="231">
        <f t="shared" si="170"/>
        <v>265.33</v>
      </c>
      <c r="G317" s="656">
        <f t="shared" si="150"/>
        <v>94.055299539170491</v>
      </c>
      <c r="H317" s="231">
        <f t="shared" si="151"/>
        <v>16.770000000000039</v>
      </c>
    </row>
    <row r="318" spans="1:8" s="1" customFormat="1" ht="53.4" x14ac:dyDescent="0.3">
      <c r="A318" s="190" t="s">
        <v>460</v>
      </c>
      <c r="B318" s="197"/>
      <c r="C318" s="191" t="s">
        <v>602</v>
      </c>
      <c r="D318" s="232">
        <f>D319+D324+D326</f>
        <v>282.10000000000002</v>
      </c>
      <c r="E318" s="232">
        <f>E319+E324+E326</f>
        <v>282.10000000000002</v>
      </c>
      <c r="F318" s="232">
        <f>F319+F324+F326</f>
        <v>265.33</v>
      </c>
      <c r="G318" s="657">
        <f t="shared" si="150"/>
        <v>94.055299539170491</v>
      </c>
      <c r="H318" s="232">
        <f t="shared" si="151"/>
        <v>16.770000000000039</v>
      </c>
    </row>
    <row r="319" spans="1:8" s="1" customFormat="1" ht="27" x14ac:dyDescent="0.3">
      <c r="A319" s="7" t="s">
        <v>458</v>
      </c>
      <c r="B319" s="7"/>
      <c r="C319" s="114" t="s">
        <v>698</v>
      </c>
      <c r="D319" s="233">
        <f>D320+D323</f>
        <v>267.60000000000002</v>
      </c>
      <c r="E319" s="233">
        <f t="shared" ref="E319:F319" si="171">E320+E323</f>
        <v>267.60000000000002</v>
      </c>
      <c r="F319" s="233">
        <f t="shared" si="171"/>
        <v>250.82999999999998</v>
      </c>
      <c r="G319" s="658">
        <f t="shared" si="150"/>
        <v>93.733183856502237</v>
      </c>
      <c r="H319" s="233">
        <f t="shared" si="151"/>
        <v>16.770000000000039</v>
      </c>
    </row>
    <row r="320" spans="1:8" s="1" customFormat="1" ht="66.599999999999994" x14ac:dyDescent="0.3">
      <c r="A320" s="7"/>
      <c r="B320" s="7" t="s">
        <v>2</v>
      </c>
      <c r="C320" s="6" t="s">
        <v>1</v>
      </c>
      <c r="D320" s="233">
        <f>D321+D322</f>
        <v>248.5</v>
      </c>
      <c r="E320" s="233">
        <f t="shared" ref="E320:F320" si="172">E321+E322</f>
        <v>248.5</v>
      </c>
      <c r="F320" s="233">
        <f t="shared" si="172"/>
        <v>235.82999999999998</v>
      </c>
      <c r="G320" s="658">
        <f t="shared" si="150"/>
        <v>94.90140845070421</v>
      </c>
      <c r="H320" s="233">
        <f t="shared" si="151"/>
        <v>12.670000000000016</v>
      </c>
    </row>
    <row r="321" spans="1:8" s="1" customFormat="1" ht="14.4" x14ac:dyDescent="0.3">
      <c r="A321" s="7"/>
      <c r="B321" s="7"/>
      <c r="C321" s="6" t="s">
        <v>157</v>
      </c>
      <c r="D321" s="233">
        <v>86.1</v>
      </c>
      <c r="E321" s="233">
        <v>86.1</v>
      </c>
      <c r="F321" s="233">
        <v>73.665000000000006</v>
      </c>
      <c r="G321" s="658">
        <f t="shared" si="150"/>
        <v>85.557491289198623</v>
      </c>
      <c r="H321" s="233">
        <f t="shared" si="151"/>
        <v>12.434999999999988</v>
      </c>
    </row>
    <row r="322" spans="1:8" s="1" customFormat="1" ht="14.4" x14ac:dyDescent="0.3">
      <c r="A322" s="7"/>
      <c r="B322" s="7"/>
      <c r="C322" s="6" t="s">
        <v>156</v>
      </c>
      <c r="D322" s="233">
        <v>162.4</v>
      </c>
      <c r="E322" s="233">
        <v>162.4</v>
      </c>
      <c r="F322" s="233">
        <v>162.16499999999999</v>
      </c>
      <c r="G322" s="658">
        <f t="shared" si="150"/>
        <v>99.855295566502463</v>
      </c>
      <c r="H322" s="233">
        <f t="shared" si="151"/>
        <v>0.23500000000001364</v>
      </c>
    </row>
    <row r="323" spans="1:8" s="1" customFormat="1" ht="27" x14ac:dyDescent="0.3">
      <c r="A323" s="7"/>
      <c r="B323" s="7" t="s">
        <v>12</v>
      </c>
      <c r="C323" s="6" t="s">
        <v>11</v>
      </c>
      <c r="D323" s="233">
        <v>19.100000000000001</v>
      </c>
      <c r="E323" s="233">
        <v>19.100000000000001</v>
      </c>
      <c r="F323" s="233">
        <v>15</v>
      </c>
      <c r="G323" s="658">
        <f t="shared" si="150"/>
        <v>78.534031413612553</v>
      </c>
      <c r="H323" s="233">
        <f t="shared" si="151"/>
        <v>4.1000000000000014</v>
      </c>
    </row>
    <row r="324" spans="1:8" s="1" customFormat="1" ht="40.200000000000003" x14ac:dyDescent="0.3">
      <c r="A324" s="7" t="s">
        <v>457</v>
      </c>
      <c r="B324" s="7"/>
      <c r="C324" s="6" t="s">
        <v>699</v>
      </c>
      <c r="D324" s="233">
        <f>D325</f>
        <v>3</v>
      </c>
      <c r="E324" s="233">
        <f t="shared" ref="E324:F324" si="173">E325</f>
        <v>3</v>
      </c>
      <c r="F324" s="233">
        <f t="shared" si="173"/>
        <v>3</v>
      </c>
      <c r="G324" s="658">
        <f t="shared" si="150"/>
        <v>100</v>
      </c>
      <c r="H324" s="233">
        <f t="shared" si="151"/>
        <v>0</v>
      </c>
    </row>
    <row r="325" spans="1:8" s="1" customFormat="1" ht="27" x14ac:dyDescent="0.3">
      <c r="A325" s="7"/>
      <c r="B325" s="7" t="s">
        <v>12</v>
      </c>
      <c r="C325" s="6" t="s">
        <v>11</v>
      </c>
      <c r="D325" s="233">
        <v>3</v>
      </c>
      <c r="E325" s="233">
        <v>3</v>
      </c>
      <c r="F325" s="233">
        <v>3</v>
      </c>
      <c r="G325" s="658">
        <f t="shared" si="150"/>
        <v>100</v>
      </c>
      <c r="H325" s="233">
        <f t="shared" si="151"/>
        <v>0</v>
      </c>
    </row>
    <row r="326" spans="1:8" s="1" customFormat="1" ht="14.4" x14ac:dyDescent="0.3">
      <c r="A326" s="7" t="s">
        <v>456</v>
      </c>
      <c r="B326" s="7"/>
      <c r="C326" s="6" t="s">
        <v>455</v>
      </c>
      <c r="D326" s="233">
        <f>D327</f>
        <v>11.5</v>
      </c>
      <c r="E326" s="233">
        <f t="shared" ref="E326:F326" si="174">E327</f>
        <v>11.5</v>
      </c>
      <c r="F326" s="233">
        <f t="shared" si="174"/>
        <v>11.5</v>
      </c>
      <c r="G326" s="658">
        <f t="shared" si="150"/>
        <v>100</v>
      </c>
      <c r="H326" s="233">
        <f t="shared" si="151"/>
        <v>0</v>
      </c>
    </row>
    <row r="327" spans="1:8" s="1" customFormat="1" ht="27" x14ac:dyDescent="0.3">
      <c r="A327" s="7"/>
      <c r="B327" s="7" t="s">
        <v>57</v>
      </c>
      <c r="C327" s="6" t="s">
        <v>56</v>
      </c>
      <c r="D327" s="233">
        <v>11.5</v>
      </c>
      <c r="E327" s="233">
        <v>11.5</v>
      </c>
      <c r="F327" s="233">
        <v>11.5</v>
      </c>
      <c r="G327" s="658">
        <f t="shared" si="150"/>
        <v>100</v>
      </c>
      <c r="H327" s="233">
        <f t="shared" si="151"/>
        <v>0</v>
      </c>
    </row>
    <row r="328" spans="1:8" s="1" customFormat="1" ht="40.200000000000003" x14ac:dyDescent="0.3">
      <c r="A328" s="206" t="s">
        <v>387</v>
      </c>
      <c r="B328" s="206"/>
      <c r="C328" s="209" t="s">
        <v>386</v>
      </c>
      <c r="D328" s="230">
        <f>D329+D343</f>
        <v>377</v>
      </c>
      <c r="E328" s="230">
        <f t="shared" ref="E328:F328" si="175">E329+E343</f>
        <v>852.17469000000006</v>
      </c>
      <c r="F328" s="230">
        <f t="shared" si="175"/>
        <v>839.76864999999998</v>
      </c>
      <c r="G328" s="655">
        <f t="shared" si="150"/>
        <v>98.544190510985473</v>
      </c>
      <c r="H328" s="230">
        <f t="shared" si="151"/>
        <v>12.406040000000075</v>
      </c>
    </row>
    <row r="329" spans="1:8" s="1" customFormat="1" ht="40.200000000000003" x14ac:dyDescent="0.3">
      <c r="A329" s="31" t="s">
        <v>385</v>
      </c>
      <c r="B329" s="31"/>
      <c r="C329" s="82" t="s">
        <v>384</v>
      </c>
      <c r="D329" s="231">
        <f>D330+D335+D338</f>
        <v>117.2</v>
      </c>
      <c r="E329" s="231">
        <f t="shared" ref="E329:F329" si="176">E330+E335+E338</f>
        <v>592.3746900000001</v>
      </c>
      <c r="F329" s="231">
        <f t="shared" si="176"/>
        <v>579.96865000000003</v>
      </c>
      <c r="G329" s="656">
        <f t="shared" si="150"/>
        <v>97.905710657556938</v>
      </c>
      <c r="H329" s="231">
        <f t="shared" si="151"/>
        <v>12.406040000000075</v>
      </c>
    </row>
    <row r="330" spans="1:8" s="1" customFormat="1" ht="40.200000000000003" x14ac:dyDescent="0.3">
      <c r="A330" s="190" t="s">
        <v>383</v>
      </c>
      <c r="B330" s="197"/>
      <c r="C330" s="201" t="s">
        <v>382</v>
      </c>
      <c r="D330" s="232">
        <f>D331+D333</f>
        <v>49.2</v>
      </c>
      <c r="E330" s="232">
        <f t="shared" ref="E330:F330" si="177">E331+E333</f>
        <v>49.2</v>
      </c>
      <c r="F330" s="232">
        <f t="shared" si="177"/>
        <v>46.112000000000002</v>
      </c>
      <c r="G330" s="657">
        <f t="shared" si="150"/>
        <v>93.723577235772353</v>
      </c>
      <c r="H330" s="232">
        <f t="shared" si="151"/>
        <v>3.088000000000001</v>
      </c>
    </row>
    <row r="331" spans="1:8" s="1" customFormat="1" ht="27" x14ac:dyDescent="0.3">
      <c r="A331" s="7" t="s">
        <v>381</v>
      </c>
      <c r="B331" s="7"/>
      <c r="C331" s="102" t="s">
        <v>380</v>
      </c>
      <c r="D331" s="233">
        <f>D332</f>
        <v>19.2</v>
      </c>
      <c r="E331" s="233">
        <f t="shared" ref="E331:F331" si="178">E332</f>
        <v>49.2</v>
      </c>
      <c r="F331" s="233">
        <f t="shared" si="178"/>
        <v>46.112000000000002</v>
      </c>
      <c r="G331" s="658">
        <f t="shared" si="150"/>
        <v>93.723577235772353</v>
      </c>
      <c r="H331" s="233">
        <f t="shared" si="151"/>
        <v>3.088000000000001</v>
      </c>
    </row>
    <row r="332" spans="1:8" s="1" customFormat="1" ht="27" x14ac:dyDescent="0.3">
      <c r="A332" s="7"/>
      <c r="B332" s="7" t="s">
        <v>12</v>
      </c>
      <c r="C332" s="6" t="s">
        <v>11</v>
      </c>
      <c r="D332" s="233">
        <v>19.2</v>
      </c>
      <c r="E332" s="233">
        <v>49.2</v>
      </c>
      <c r="F332" s="233">
        <v>46.112000000000002</v>
      </c>
      <c r="G332" s="658">
        <f t="shared" si="150"/>
        <v>93.723577235772353</v>
      </c>
      <c r="H332" s="233">
        <f t="shared" si="151"/>
        <v>3.088000000000001</v>
      </c>
    </row>
    <row r="333" spans="1:8" s="1" customFormat="1" ht="14.4" x14ac:dyDescent="0.3">
      <c r="A333" s="7" t="s">
        <v>379</v>
      </c>
      <c r="B333" s="7"/>
      <c r="C333" s="102" t="s">
        <v>378</v>
      </c>
      <c r="D333" s="233">
        <f>D334</f>
        <v>30</v>
      </c>
      <c r="E333" s="233">
        <f t="shared" ref="E333:F333" si="179">E334</f>
        <v>0</v>
      </c>
      <c r="F333" s="233">
        <f t="shared" si="179"/>
        <v>0</v>
      </c>
      <c r="G333" s="658"/>
      <c r="H333" s="233">
        <f t="shared" ref="H333:H401" si="180">E333-F333</f>
        <v>0</v>
      </c>
    </row>
    <row r="334" spans="1:8" s="1" customFormat="1" ht="27" x14ac:dyDescent="0.3">
      <c r="A334" s="7"/>
      <c r="B334" s="7" t="s">
        <v>12</v>
      </c>
      <c r="C334" s="6" t="s">
        <v>11</v>
      </c>
      <c r="D334" s="233">
        <v>30</v>
      </c>
      <c r="E334" s="233">
        <v>0</v>
      </c>
      <c r="F334" s="233">
        <v>0</v>
      </c>
      <c r="G334" s="658"/>
      <c r="H334" s="233">
        <f t="shared" si="180"/>
        <v>0</v>
      </c>
    </row>
    <row r="335" spans="1:8" s="1" customFormat="1" ht="53.4" x14ac:dyDescent="0.3">
      <c r="A335" s="190" t="s">
        <v>567</v>
      </c>
      <c r="B335" s="190"/>
      <c r="C335" s="191" t="s">
        <v>568</v>
      </c>
      <c r="D335" s="232">
        <f t="shared" ref="D335:F336" si="181">D336</f>
        <v>15.202809999999999</v>
      </c>
      <c r="E335" s="232">
        <f t="shared" si="181"/>
        <v>15.202809999999999</v>
      </c>
      <c r="F335" s="232">
        <f t="shared" si="181"/>
        <v>5.8847699999999996</v>
      </c>
      <c r="G335" s="657">
        <f t="shared" ref="G335:G401" si="182">F335/E335*100</f>
        <v>38.708436137792944</v>
      </c>
      <c r="H335" s="232">
        <f t="shared" si="180"/>
        <v>9.3180399999999999</v>
      </c>
    </row>
    <row r="336" spans="1:8" s="1" customFormat="1" ht="27" x14ac:dyDescent="0.3">
      <c r="A336" s="7" t="s">
        <v>681</v>
      </c>
      <c r="B336" s="7"/>
      <c r="C336" s="6" t="s">
        <v>569</v>
      </c>
      <c r="D336" s="233">
        <f t="shared" si="181"/>
        <v>15.202809999999999</v>
      </c>
      <c r="E336" s="233">
        <f t="shared" si="181"/>
        <v>15.202809999999999</v>
      </c>
      <c r="F336" s="233">
        <f t="shared" si="181"/>
        <v>5.8847699999999996</v>
      </c>
      <c r="G336" s="658">
        <f t="shared" si="182"/>
        <v>38.708436137792944</v>
      </c>
      <c r="H336" s="233">
        <f t="shared" si="180"/>
        <v>9.3180399999999999</v>
      </c>
    </row>
    <row r="337" spans="1:8" s="1" customFormat="1" ht="27" x14ac:dyDescent="0.3">
      <c r="A337" s="7"/>
      <c r="B337" s="7" t="s">
        <v>12</v>
      </c>
      <c r="C337" s="6" t="s">
        <v>11</v>
      </c>
      <c r="D337" s="233">
        <v>15.202809999999999</v>
      </c>
      <c r="E337" s="233">
        <v>15.202809999999999</v>
      </c>
      <c r="F337" s="233">
        <v>5.8847699999999996</v>
      </c>
      <c r="G337" s="658">
        <f t="shared" si="182"/>
        <v>38.708436137792944</v>
      </c>
      <c r="H337" s="233">
        <f t="shared" si="180"/>
        <v>9.3180399999999999</v>
      </c>
    </row>
    <row r="338" spans="1:8" s="1" customFormat="1" ht="27" x14ac:dyDescent="0.3">
      <c r="A338" s="190" t="s">
        <v>785</v>
      </c>
      <c r="B338" s="190"/>
      <c r="C338" s="191" t="s">
        <v>786</v>
      </c>
      <c r="D338" s="232">
        <f t="shared" ref="D338:F339" si="183">D339</f>
        <v>52.797190000000001</v>
      </c>
      <c r="E338" s="232">
        <f t="shared" si="183"/>
        <v>527.97188000000006</v>
      </c>
      <c r="F338" s="232">
        <f t="shared" si="183"/>
        <v>527.97188000000006</v>
      </c>
      <c r="G338" s="657">
        <f t="shared" si="182"/>
        <v>100</v>
      </c>
      <c r="H338" s="232">
        <f t="shared" si="180"/>
        <v>0</v>
      </c>
    </row>
    <row r="339" spans="1:8" s="1" customFormat="1" ht="14.4" x14ac:dyDescent="0.3">
      <c r="A339" s="278" t="s">
        <v>787</v>
      </c>
      <c r="B339" s="278"/>
      <c r="C339" s="281" t="s">
        <v>788</v>
      </c>
      <c r="D339" s="280">
        <f>D340</f>
        <v>52.797190000000001</v>
      </c>
      <c r="E339" s="280">
        <f t="shared" si="183"/>
        <v>527.97188000000006</v>
      </c>
      <c r="F339" s="280">
        <f t="shared" si="183"/>
        <v>527.97188000000006</v>
      </c>
      <c r="G339" s="665">
        <f t="shared" si="182"/>
        <v>100</v>
      </c>
      <c r="H339" s="280">
        <f t="shared" si="180"/>
        <v>0</v>
      </c>
    </row>
    <row r="340" spans="1:8" s="1" customFormat="1" ht="27" x14ac:dyDescent="0.3">
      <c r="A340" s="278"/>
      <c r="B340" s="7" t="s">
        <v>12</v>
      </c>
      <c r="C340" s="6" t="s">
        <v>11</v>
      </c>
      <c r="D340" s="233">
        <v>52.797190000000001</v>
      </c>
      <c r="E340" s="233">
        <f>E341+E342</f>
        <v>527.97188000000006</v>
      </c>
      <c r="F340" s="233">
        <f>F341+F342</f>
        <v>527.97188000000006</v>
      </c>
      <c r="G340" s="658">
        <f t="shared" si="182"/>
        <v>100</v>
      </c>
      <c r="H340" s="233">
        <f t="shared" si="180"/>
        <v>0</v>
      </c>
    </row>
    <row r="341" spans="1:8" s="1" customFormat="1" ht="14.4" x14ac:dyDescent="0.3">
      <c r="A341" s="342"/>
      <c r="B341" s="342"/>
      <c r="C341" s="104" t="s">
        <v>319</v>
      </c>
      <c r="D341" s="9"/>
      <c r="E341" s="239">
        <v>475.17469</v>
      </c>
      <c r="F341" s="239">
        <v>475.17469</v>
      </c>
      <c r="G341" s="658">
        <f t="shared" ref="G341" si="184">F341/E341*100</f>
        <v>100</v>
      </c>
      <c r="H341" s="233">
        <f t="shared" ref="H341" si="185">E341-F341</f>
        <v>0</v>
      </c>
    </row>
    <row r="342" spans="1:8" s="1" customFormat="1" ht="14.4" x14ac:dyDescent="0.3">
      <c r="A342" s="278"/>
      <c r="B342" s="278"/>
      <c r="C342" s="101" t="s">
        <v>312</v>
      </c>
      <c r="D342" s="233">
        <v>52.797190000000001</v>
      </c>
      <c r="E342" s="233">
        <v>52.797190000000001</v>
      </c>
      <c r="F342" s="233">
        <v>52.797190000000001</v>
      </c>
      <c r="G342" s="658">
        <f t="shared" si="182"/>
        <v>100</v>
      </c>
      <c r="H342" s="233">
        <f t="shared" si="180"/>
        <v>0</v>
      </c>
    </row>
    <row r="343" spans="1:8" s="1" customFormat="1" ht="40.200000000000003" x14ac:dyDescent="0.3">
      <c r="A343" s="31" t="s">
        <v>445</v>
      </c>
      <c r="B343" s="31"/>
      <c r="C343" s="82" t="s">
        <v>444</v>
      </c>
      <c r="D343" s="231">
        <f>D344+D347</f>
        <v>259.8</v>
      </c>
      <c r="E343" s="231">
        <f t="shared" ref="E343:F343" si="186">E344+E347</f>
        <v>259.8</v>
      </c>
      <c r="F343" s="231">
        <f t="shared" si="186"/>
        <v>259.8</v>
      </c>
      <c r="G343" s="656">
        <f t="shared" si="182"/>
        <v>100</v>
      </c>
      <c r="H343" s="231">
        <f t="shared" si="180"/>
        <v>0</v>
      </c>
    </row>
    <row r="344" spans="1:8" s="1" customFormat="1" ht="27" x14ac:dyDescent="0.3">
      <c r="A344" s="190" t="s">
        <v>443</v>
      </c>
      <c r="B344" s="190"/>
      <c r="C344" s="201" t="s">
        <v>442</v>
      </c>
      <c r="D344" s="232">
        <f t="shared" ref="D344:F345" si="187">D345</f>
        <v>124</v>
      </c>
      <c r="E344" s="232">
        <f t="shared" si="187"/>
        <v>124</v>
      </c>
      <c r="F344" s="232">
        <f t="shared" si="187"/>
        <v>124</v>
      </c>
      <c r="G344" s="657">
        <f t="shared" si="182"/>
        <v>100</v>
      </c>
      <c r="H344" s="232">
        <f t="shared" si="180"/>
        <v>0</v>
      </c>
    </row>
    <row r="345" spans="1:8" s="1" customFormat="1" ht="14.4" x14ac:dyDescent="0.3">
      <c r="A345" s="7" t="s">
        <v>441</v>
      </c>
      <c r="B345" s="7"/>
      <c r="C345" s="102" t="s">
        <v>440</v>
      </c>
      <c r="D345" s="233">
        <f t="shared" si="187"/>
        <v>124</v>
      </c>
      <c r="E345" s="233">
        <f t="shared" si="187"/>
        <v>124</v>
      </c>
      <c r="F345" s="233">
        <f t="shared" si="187"/>
        <v>124</v>
      </c>
      <c r="G345" s="658">
        <f t="shared" si="182"/>
        <v>100</v>
      </c>
      <c r="H345" s="233">
        <f t="shared" si="180"/>
        <v>0</v>
      </c>
    </row>
    <row r="346" spans="1:8" s="1" customFormat="1" ht="27" x14ac:dyDescent="0.3">
      <c r="A346" s="7"/>
      <c r="B346" s="7" t="s">
        <v>12</v>
      </c>
      <c r="C346" s="6" t="s">
        <v>11</v>
      </c>
      <c r="D346" s="233">
        <v>124</v>
      </c>
      <c r="E346" s="233">
        <v>124</v>
      </c>
      <c r="F346" s="233">
        <v>124</v>
      </c>
      <c r="G346" s="658">
        <f t="shared" si="182"/>
        <v>100</v>
      </c>
      <c r="H346" s="233">
        <f t="shared" si="180"/>
        <v>0</v>
      </c>
    </row>
    <row r="347" spans="1:8" s="1" customFormat="1" ht="27" x14ac:dyDescent="0.3">
      <c r="A347" s="190" t="s">
        <v>439</v>
      </c>
      <c r="B347" s="190"/>
      <c r="C347" s="201" t="s">
        <v>438</v>
      </c>
      <c r="D347" s="232">
        <f>D348+D350+D352+D354</f>
        <v>135.80000000000001</v>
      </c>
      <c r="E347" s="232">
        <f>E348+E350+E352+E354+E356</f>
        <v>135.80000000000001</v>
      </c>
      <c r="F347" s="232">
        <f>F348+F350+F352+F354+F356</f>
        <v>135.80000000000001</v>
      </c>
      <c r="G347" s="657">
        <f t="shared" si="182"/>
        <v>100</v>
      </c>
      <c r="H347" s="232">
        <f t="shared" si="180"/>
        <v>0</v>
      </c>
    </row>
    <row r="348" spans="1:8" s="1" customFormat="1" ht="40.200000000000003" x14ac:dyDescent="0.3">
      <c r="A348" s="7" t="s">
        <v>437</v>
      </c>
      <c r="B348" s="7"/>
      <c r="C348" s="102" t="s">
        <v>436</v>
      </c>
      <c r="D348" s="233">
        <f>D349</f>
        <v>40.4</v>
      </c>
      <c r="E348" s="233">
        <f t="shared" ref="E348:F348" si="188">E349</f>
        <v>40.4</v>
      </c>
      <c r="F348" s="233">
        <f t="shared" si="188"/>
        <v>40.4</v>
      </c>
      <c r="G348" s="658">
        <f t="shared" si="182"/>
        <v>100</v>
      </c>
      <c r="H348" s="233">
        <f t="shared" si="180"/>
        <v>0</v>
      </c>
    </row>
    <row r="349" spans="1:8" s="1" customFormat="1" ht="27" x14ac:dyDescent="0.3">
      <c r="A349" s="7"/>
      <c r="B349" s="7" t="s">
        <v>12</v>
      </c>
      <c r="C349" s="6" t="s">
        <v>11</v>
      </c>
      <c r="D349" s="233">
        <v>40.4</v>
      </c>
      <c r="E349" s="233">
        <v>40.4</v>
      </c>
      <c r="F349" s="233">
        <v>40.4</v>
      </c>
      <c r="G349" s="658">
        <f t="shared" si="182"/>
        <v>100</v>
      </c>
      <c r="H349" s="233">
        <f t="shared" si="180"/>
        <v>0</v>
      </c>
    </row>
    <row r="350" spans="1:8" s="1" customFormat="1" ht="27" x14ac:dyDescent="0.3">
      <c r="A350" s="7" t="s">
        <v>435</v>
      </c>
      <c r="B350" s="7"/>
      <c r="C350" s="102" t="s">
        <v>434</v>
      </c>
      <c r="D350" s="233">
        <f>D351</f>
        <v>40</v>
      </c>
      <c r="E350" s="233">
        <f t="shared" ref="E350:F350" si="189">E351</f>
        <v>40</v>
      </c>
      <c r="F350" s="233">
        <f t="shared" si="189"/>
        <v>40</v>
      </c>
      <c r="G350" s="658">
        <f t="shared" si="182"/>
        <v>100</v>
      </c>
      <c r="H350" s="233">
        <f t="shared" si="180"/>
        <v>0</v>
      </c>
    </row>
    <row r="351" spans="1:8" s="1" customFormat="1" ht="27" x14ac:dyDescent="0.3">
      <c r="A351" s="7"/>
      <c r="B351" s="7" t="s">
        <v>12</v>
      </c>
      <c r="C351" s="6" t="s">
        <v>11</v>
      </c>
      <c r="D351" s="233">
        <v>40</v>
      </c>
      <c r="E351" s="233">
        <v>40</v>
      </c>
      <c r="F351" s="233">
        <v>40</v>
      </c>
      <c r="G351" s="658">
        <f t="shared" si="182"/>
        <v>100</v>
      </c>
      <c r="H351" s="233">
        <f t="shared" si="180"/>
        <v>0</v>
      </c>
    </row>
    <row r="352" spans="1:8" s="1" customFormat="1" ht="27" x14ac:dyDescent="0.3">
      <c r="A352" s="7" t="s">
        <v>433</v>
      </c>
      <c r="B352" s="7"/>
      <c r="C352" s="102" t="s">
        <v>432</v>
      </c>
      <c r="D352" s="233">
        <f>D353</f>
        <v>26.6</v>
      </c>
      <c r="E352" s="233">
        <f t="shared" ref="E352:F352" si="190">E353</f>
        <v>0</v>
      </c>
      <c r="F352" s="233">
        <f t="shared" si="190"/>
        <v>0</v>
      </c>
      <c r="G352" s="658"/>
      <c r="H352" s="233">
        <f t="shared" si="180"/>
        <v>0</v>
      </c>
    </row>
    <row r="353" spans="1:8" s="1" customFormat="1" ht="27" x14ac:dyDescent="0.3">
      <c r="A353" s="7"/>
      <c r="B353" s="7" t="s">
        <v>12</v>
      </c>
      <c r="C353" s="6" t="s">
        <v>11</v>
      </c>
      <c r="D353" s="233">
        <v>26.6</v>
      </c>
      <c r="E353" s="233">
        <v>0</v>
      </c>
      <c r="F353" s="233">
        <v>0</v>
      </c>
      <c r="G353" s="658"/>
      <c r="H353" s="233">
        <f t="shared" si="180"/>
        <v>0</v>
      </c>
    </row>
    <row r="354" spans="1:8" s="1" customFormat="1" ht="14.4" x14ac:dyDescent="0.3">
      <c r="A354" s="7" t="s">
        <v>431</v>
      </c>
      <c r="B354" s="7"/>
      <c r="C354" s="102" t="s">
        <v>430</v>
      </c>
      <c r="D354" s="233">
        <f>D355</f>
        <v>28.8</v>
      </c>
      <c r="E354" s="233">
        <f t="shared" ref="E354:F354" si="191">E355</f>
        <v>28.8</v>
      </c>
      <c r="F354" s="233">
        <f t="shared" si="191"/>
        <v>28.8</v>
      </c>
      <c r="G354" s="658">
        <f t="shared" si="182"/>
        <v>100</v>
      </c>
      <c r="H354" s="233">
        <f t="shared" si="180"/>
        <v>0</v>
      </c>
    </row>
    <row r="355" spans="1:8" s="1" customFormat="1" ht="27" x14ac:dyDescent="0.3">
      <c r="A355" s="7"/>
      <c r="B355" s="7" t="s">
        <v>12</v>
      </c>
      <c r="C355" s="6" t="s">
        <v>11</v>
      </c>
      <c r="D355" s="233">
        <v>28.8</v>
      </c>
      <c r="E355" s="233">
        <v>28.8</v>
      </c>
      <c r="F355" s="233">
        <v>28.8</v>
      </c>
      <c r="G355" s="658">
        <f t="shared" si="182"/>
        <v>100</v>
      </c>
      <c r="H355" s="233">
        <f t="shared" si="180"/>
        <v>0</v>
      </c>
    </row>
    <row r="356" spans="1:8" s="1" customFormat="1" ht="14.4" x14ac:dyDescent="0.3">
      <c r="A356" s="7" t="s">
        <v>857</v>
      </c>
      <c r="B356" s="7"/>
      <c r="C356" s="102" t="s">
        <v>858</v>
      </c>
      <c r="D356" s="686">
        <f>D357</f>
        <v>0</v>
      </c>
      <c r="E356" s="686">
        <f t="shared" ref="E356:F356" si="192">E357</f>
        <v>26.6</v>
      </c>
      <c r="F356" s="686">
        <f t="shared" si="192"/>
        <v>26.6</v>
      </c>
      <c r="G356" s="687">
        <f t="shared" si="182"/>
        <v>100</v>
      </c>
      <c r="H356" s="676"/>
    </row>
    <row r="357" spans="1:8" s="1" customFormat="1" ht="27" x14ac:dyDescent="0.3">
      <c r="A357" s="7"/>
      <c r="B357" s="7" t="s">
        <v>12</v>
      </c>
      <c r="C357" s="6" t="s">
        <v>11</v>
      </c>
      <c r="D357" s="686">
        <v>0</v>
      </c>
      <c r="E357" s="686">
        <v>26.6</v>
      </c>
      <c r="F357" s="686">
        <v>26.6</v>
      </c>
      <c r="G357" s="687">
        <f t="shared" si="182"/>
        <v>100</v>
      </c>
      <c r="H357" s="676"/>
    </row>
    <row r="358" spans="1:8" s="1" customFormat="1" ht="40.200000000000003" x14ac:dyDescent="0.3">
      <c r="A358" s="206" t="s">
        <v>293</v>
      </c>
      <c r="B358" s="206"/>
      <c r="C358" s="209" t="s">
        <v>292</v>
      </c>
      <c r="D358" s="230">
        <f>D359+D366+D428</f>
        <v>61481.721800000007</v>
      </c>
      <c r="E358" s="230">
        <f>E359+E366+E428</f>
        <v>84613.506150000001</v>
      </c>
      <c r="F358" s="230">
        <f>F359+F366+F428</f>
        <v>76422.520220000006</v>
      </c>
      <c r="G358" s="655">
        <f t="shared" si="182"/>
        <v>90.319528994012742</v>
      </c>
      <c r="H358" s="230">
        <f t="shared" si="180"/>
        <v>8190.9859299999953</v>
      </c>
    </row>
    <row r="359" spans="1:8" s="1" customFormat="1" ht="27" x14ac:dyDescent="0.3">
      <c r="A359" s="31" t="s">
        <v>329</v>
      </c>
      <c r="B359" s="31"/>
      <c r="C359" s="82" t="s">
        <v>328</v>
      </c>
      <c r="D359" s="231">
        <f t="shared" ref="D359:F361" si="193">D360</f>
        <v>3910.7090400000006</v>
      </c>
      <c r="E359" s="231">
        <f t="shared" si="193"/>
        <v>3680.4221299999999</v>
      </c>
      <c r="F359" s="231">
        <f t="shared" si="193"/>
        <v>3680.4221200000002</v>
      </c>
      <c r="G359" s="656">
        <f t="shared" si="182"/>
        <v>99.999999728292039</v>
      </c>
      <c r="H359" s="231">
        <f t="shared" si="180"/>
        <v>9.9999997473787516E-6</v>
      </c>
    </row>
    <row r="360" spans="1:8" s="1" customFormat="1" ht="66.599999999999994" x14ac:dyDescent="0.3">
      <c r="A360" s="190" t="s">
        <v>603</v>
      </c>
      <c r="B360" s="190"/>
      <c r="C360" s="201" t="s">
        <v>604</v>
      </c>
      <c r="D360" s="232">
        <f t="shared" si="193"/>
        <v>3910.7090400000006</v>
      </c>
      <c r="E360" s="232">
        <f t="shared" si="193"/>
        <v>3680.4221299999999</v>
      </c>
      <c r="F360" s="232">
        <f t="shared" si="193"/>
        <v>3680.4221200000002</v>
      </c>
      <c r="G360" s="657">
        <f t="shared" si="182"/>
        <v>99.999999728292039</v>
      </c>
      <c r="H360" s="232">
        <f t="shared" si="180"/>
        <v>9.9999997473787516E-6</v>
      </c>
    </row>
    <row r="361" spans="1:8" s="1" customFormat="1" ht="40.200000000000003" x14ac:dyDescent="0.3">
      <c r="A361" s="75" t="s">
        <v>327</v>
      </c>
      <c r="B361" s="7"/>
      <c r="C361" s="6" t="s">
        <v>326</v>
      </c>
      <c r="D361" s="233">
        <f t="shared" si="193"/>
        <v>3910.7090400000006</v>
      </c>
      <c r="E361" s="233">
        <f t="shared" si="193"/>
        <v>3680.4221299999999</v>
      </c>
      <c r="F361" s="233">
        <f t="shared" si="193"/>
        <v>3680.4221200000002</v>
      </c>
      <c r="G361" s="658">
        <f t="shared" si="182"/>
        <v>99.999999728292039</v>
      </c>
      <c r="H361" s="233">
        <f t="shared" si="180"/>
        <v>9.9999997473787516E-6</v>
      </c>
    </row>
    <row r="362" spans="1:8" s="1" customFormat="1" ht="27" x14ac:dyDescent="0.3">
      <c r="A362" s="75"/>
      <c r="B362" s="75" t="s">
        <v>12</v>
      </c>
      <c r="C362" s="12" t="s">
        <v>11</v>
      </c>
      <c r="D362" s="233">
        <f>D363+D364+D365</f>
        <v>3910.7090400000006</v>
      </c>
      <c r="E362" s="233">
        <f t="shared" ref="E362:F362" si="194">E363+E364+E365</f>
        <v>3680.4221299999999</v>
      </c>
      <c r="F362" s="233">
        <f t="shared" si="194"/>
        <v>3680.4221200000002</v>
      </c>
      <c r="G362" s="658">
        <f t="shared" si="182"/>
        <v>99.999999728292039</v>
      </c>
      <c r="H362" s="233">
        <f t="shared" si="180"/>
        <v>9.9999997473787516E-6</v>
      </c>
    </row>
    <row r="363" spans="1:8" s="1" customFormat="1" ht="14.4" x14ac:dyDescent="0.3">
      <c r="A363" s="75"/>
      <c r="B363" s="7"/>
      <c r="C363" s="101" t="s">
        <v>325</v>
      </c>
      <c r="D363" s="233">
        <v>2666.3</v>
      </c>
      <c r="E363" s="233">
        <v>2473.2436699999998</v>
      </c>
      <c r="F363" s="233">
        <v>2473.2436600000001</v>
      </c>
      <c r="G363" s="658">
        <f t="shared" si="182"/>
        <v>99.999999595672691</v>
      </c>
      <c r="H363" s="233">
        <f t="shared" si="180"/>
        <v>9.9999997473787516E-6</v>
      </c>
    </row>
    <row r="364" spans="1:8" s="1" customFormat="1" ht="14.4" x14ac:dyDescent="0.3">
      <c r="A364" s="75"/>
      <c r="B364" s="7"/>
      <c r="C364" s="101" t="s">
        <v>319</v>
      </c>
      <c r="D364" s="233">
        <v>140.30000000000001</v>
      </c>
      <c r="E364" s="233">
        <v>103.05182000000001</v>
      </c>
      <c r="F364" s="233">
        <v>103.05182000000001</v>
      </c>
      <c r="G364" s="658">
        <f t="shared" si="182"/>
        <v>100</v>
      </c>
      <c r="H364" s="233">
        <f t="shared" si="180"/>
        <v>0</v>
      </c>
    </row>
    <row r="365" spans="1:8" s="1" customFormat="1" ht="14.4" x14ac:dyDescent="0.3">
      <c r="A365" s="75"/>
      <c r="B365" s="7"/>
      <c r="C365" s="101" t="s">
        <v>312</v>
      </c>
      <c r="D365" s="239">
        <v>1104.10904</v>
      </c>
      <c r="E365" s="239">
        <v>1104.12664</v>
      </c>
      <c r="F365" s="239">
        <v>1104.12664</v>
      </c>
      <c r="G365" s="670">
        <f t="shared" si="182"/>
        <v>100</v>
      </c>
      <c r="H365" s="239">
        <f t="shared" si="180"/>
        <v>0</v>
      </c>
    </row>
    <row r="366" spans="1:8" s="1" customFormat="1" ht="40.200000000000003" x14ac:dyDescent="0.3">
      <c r="A366" s="31" t="s">
        <v>291</v>
      </c>
      <c r="B366" s="31"/>
      <c r="C366" s="82" t="s">
        <v>290</v>
      </c>
      <c r="D366" s="231">
        <f>D367+D392+D409+D412+D415</f>
        <v>34970.485230000006</v>
      </c>
      <c r="E366" s="231">
        <f>E367+E392+E409+E412+E415</f>
        <v>58332.556490000003</v>
      </c>
      <c r="F366" s="231">
        <f>F367+F392+F409+F412+F415</f>
        <v>53598.41075000001</v>
      </c>
      <c r="G366" s="656">
        <f t="shared" si="182"/>
        <v>91.884213508092046</v>
      </c>
      <c r="H366" s="231">
        <f t="shared" si="180"/>
        <v>4734.1457399999927</v>
      </c>
    </row>
    <row r="367" spans="1:8" s="1" customFormat="1" ht="40.200000000000003" x14ac:dyDescent="0.3">
      <c r="A367" s="190" t="s">
        <v>324</v>
      </c>
      <c r="B367" s="190"/>
      <c r="C367" s="201" t="s">
        <v>323</v>
      </c>
      <c r="D367" s="232">
        <f>D373+D376+D379+D368+D388+D382+D386+D390</f>
        <v>7869.0607799999998</v>
      </c>
      <c r="E367" s="232">
        <f>E373+E376+E379+E368+E388+E382+E386+E390</f>
        <v>16780.690319999998</v>
      </c>
      <c r="F367" s="232">
        <f>F373+F376+F379+F368+F388+F382+F386+F390</f>
        <v>12173.799980000002</v>
      </c>
      <c r="G367" s="657">
        <f t="shared" si="182"/>
        <v>72.546479005638446</v>
      </c>
      <c r="H367" s="232">
        <f t="shared" si="180"/>
        <v>4606.8903399999963</v>
      </c>
    </row>
    <row r="368" spans="1:8" s="1" customFormat="1" ht="14.4" x14ac:dyDescent="0.3">
      <c r="A368" s="7" t="s">
        <v>322</v>
      </c>
      <c r="B368" s="7"/>
      <c r="C368" s="102" t="s">
        <v>321</v>
      </c>
      <c r="D368" s="233">
        <f>D369</f>
        <v>860.32722000000012</v>
      </c>
      <c r="E368" s="233">
        <f t="shared" ref="E368:F368" si="195">E369</f>
        <v>5860.3272200000001</v>
      </c>
      <c r="F368" s="233">
        <f t="shared" si="195"/>
        <v>5860.3272200000001</v>
      </c>
      <c r="G368" s="658">
        <f t="shared" si="182"/>
        <v>100</v>
      </c>
      <c r="H368" s="233">
        <f t="shared" si="180"/>
        <v>0</v>
      </c>
    </row>
    <row r="369" spans="1:8" s="1" customFormat="1" ht="27" x14ac:dyDescent="0.3">
      <c r="A369" s="7"/>
      <c r="B369" s="7" t="s">
        <v>12</v>
      </c>
      <c r="C369" s="6" t="s">
        <v>11</v>
      </c>
      <c r="D369" s="233">
        <f>D371+D372</f>
        <v>860.32722000000012</v>
      </c>
      <c r="E369" s="233">
        <f>E371+E372+E370</f>
        <v>5860.3272200000001</v>
      </c>
      <c r="F369" s="233">
        <f>F371+F372+F370</f>
        <v>5860.3272200000001</v>
      </c>
      <c r="G369" s="658">
        <f t="shared" si="182"/>
        <v>100</v>
      </c>
      <c r="H369" s="233">
        <f t="shared" si="180"/>
        <v>0</v>
      </c>
    </row>
    <row r="370" spans="1:8" s="1" customFormat="1" ht="14.4" x14ac:dyDescent="0.3">
      <c r="A370" s="342"/>
      <c r="B370" s="342"/>
      <c r="C370" s="101" t="s">
        <v>319</v>
      </c>
      <c r="D370" s="676"/>
      <c r="E370" s="676">
        <v>5000</v>
      </c>
      <c r="F370" s="676">
        <v>5000</v>
      </c>
      <c r="G370" s="658">
        <f t="shared" ref="G370" si="196">F370/E370*100</f>
        <v>100</v>
      </c>
      <c r="H370" s="233">
        <f t="shared" ref="H370" si="197">E370-F370</f>
        <v>0</v>
      </c>
    </row>
    <row r="371" spans="1:8" s="1" customFormat="1" ht="14.4" x14ac:dyDescent="0.3">
      <c r="A371" s="7"/>
      <c r="B371" s="7"/>
      <c r="C371" s="101" t="s">
        <v>312</v>
      </c>
      <c r="D371" s="233">
        <v>567.31086000000005</v>
      </c>
      <c r="E371" s="233">
        <v>567.31086000000005</v>
      </c>
      <c r="F371" s="233">
        <v>567.31086000000005</v>
      </c>
      <c r="G371" s="658">
        <f t="shared" si="182"/>
        <v>100</v>
      </c>
      <c r="H371" s="233">
        <f t="shared" si="180"/>
        <v>0</v>
      </c>
    </row>
    <row r="372" spans="1:8" s="1" customFormat="1" ht="14.4" x14ac:dyDescent="0.3">
      <c r="A372" s="7"/>
      <c r="B372" s="7"/>
      <c r="C372" s="101" t="s">
        <v>320</v>
      </c>
      <c r="D372" s="233">
        <v>293.01636000000002</v>
      </c>
      <c r="E372" s="233">
        <v>293.01636000000002</v>
      </c>
      <c r="F372" s="233">
        <v>293.01636000000002</v>
      </c>
      <c r="G372" s="658">
        <f t="shared" si="182"/>
        <v>100</v>
      </c>
      <c r="H372" s="233">
        <f t="shared" si="180"/>
        <v>0</v>
      </c>
    </row>
    <row r="373" spans="1:8" s="1" customFormat="1" ht="27" x14ac:dyDescent="0.3">
      <c r="A373" s="55" t="s">
        <v>318</v>
      </c>
      <c r="B373" s="55"/>
      <c r="C373" s="6" t="s">
        <v>317</v>
      </c>
      <c r="D373" s="233">
        <f>D374</f>
        <v>1415.1244299999998</v>
      </c>
      <c r="E373" s="233">
        <f>SUM(E374:E375)</f>
        <v>711.78146000000004</v>
      </c>
      <c r="F373" s="233">
        <f>SUM(F374:F375)</f>
        <v>711.78146000000004</v>
      </c>
      <c r="G373" s="658">
        <f t="shared" si="182"/>
        <v>100</v>
      </c>
      <c r="H373" s="233">
        <f t="shared" si="180"/>
        <v>0</v>
      </c>
    </row>
    <row r="374" spans="1:8" s="1" customFormat="1" ht="27" x14ac:dyDescent="0.3">
      <c r="A374" s="55"/>
      <c r="B374" s="7" t="s">
        <v>12</v>
      </c>
      <c r="C374" s="6" t="s">
        <v>11</v>
      </c>
      <c r="D374" s="233">
        <v>1415.1244299999998</v>
      </c>
      <c r="E374" s="233">
        <v>192.25684999999999</v>
      </c>
      <c r="F374" s="233">
        <v>192.25684999999999</v>
      </c>
      <c r="G374" s="658">
        <f t="shared" si="182"/>
        <v>100</v>
      </c>
      <c r="H374" s="233">
        <f t="shared" si="180"/>
        <v>0</v>
      </c>
    </row>
    <row r="375" spans="1:8" s="1" customFormat="1" ht="27" x14ac:dyDescent="0.3">
      <c r="A375" s="405"/>
      <c r="B375" s="7" t="s">
        <v>57</v>
      </c>
      <c r="C375" s="6" t="s">
        <v>56</v>
      </c>
      <c r="D375" s="676"/>
      <c r="E375" s="676">
        <v>519.52461000000005</v>
      </c>
      <c r="F375" s="676">
        <v>519.52461000000005</v>
      </c>
      <c r="G375" s="658">
        <f t="shared" ref="G375" si="198">F375/E375*100</f>
        <v>100</v>
      </c>
      <c r="H375" s="233">
        <f t="shared" ref="H375" si="199">E375-F375</f>
        <v>0</v>
      </c>
    </row>
    <row r="376" spans="1:8" s="1" customFormat="1" ht="40.200000000000003" x14ac:dyDescent="0.3">
      <c r="A376" s="55" t="s">
        <v>316</v>
      </c>
      <c r="B376" s="55"/>
      <c r="C376" s="6" t="s">
        <v>315</v>
      </c>
      <c r="D376" s="233">
        <f>D377</f>
        <v>2598.9</v>
      </c>
      <c r="E376" s="233">
        <f>E377+E378</f>
        <v>2586.21902</v>
      </c>
      <c r="F376" s="233">
        <f>F377+F378</f>
        <v>2586.21902</v>
      </c>
      <c r="G376" s="658">
        <f t="shared" si="182"/>
        <v>100</v>
      </c>
      <c r="H376" s="233">
        <f t="shared" si="180"/>
        <v>0</v>
      </c>
    </row>
    <row r="377" spans="1:8" s="1" customFormat="1" ht="27" x14ac:dyDescent="0.3">
      <c r="A377" s="55"/>
      <c r="B377" s="7" t="s">
        <v>12</v>
      </c>
      <c r="C377" s="6" t="s">
        <v>11</v>
      </c>
      <c r="D377" s="233">
        <v>2598.9</v>
      </c>
      <c r="E377" s="233">
        <v>490.62308999999999</v>
      </c>
      <c r="F377" s="233">
        <v>490.62308999999999</v>
      </c>
      <c r="G377" s="658">
        <f t="shared" si="182"/>
        <v>100</v>
      </c>
      <c r="H377" s="233">
        <f t="shared" si="180"/>
        <v>0</v>
      </c>
    </row>
    <row r="378" spans="1:8" s="1" customFormat="1" ht="27" x14ac:dyDescent="0.3">
      <c r="A378" s="405"/>
      <c r="B378" s="7" t="s">
        <v>57</v>
      </c>
      <c r="C378" s="6" t="s">
        <v>56</v>
      </c>
      <c r="D378" s="676"/>
      <c r="E378" s="676">
        <v>2095.59593</v>
      </c>
      <c r="F378" s="676">
        <v>2095.59593</v>
      </c>
      <c r="G378" s="658">
        <f t="shared" si="182"/>
        <v>100</v>
      </c>
      <c r="H378" s="233">
        <f t="shared" si="180"/>
        <v>0</v>
      </c>
    </row>
    <row r="379" spans="1:8" s="1" customFormat="1" ht="40.200000000000003" x14ac:dyDescent="0.3">
      <c r="A379" s="55" t="s">
        <v>571</v>
      </c>
      <c r="B379" s="7"/>
      <c r="C379" s="6" t="s">
        <v>572</v>
      </c>
      <c r="D379" s="233">
        <f>D380+D381</f>
        <v>988.9</v>
      </c>
      <c r="E379" s="233">
        <f t="shared" ref="E379:F379" si="200">E380+E381</f>
        <v>988.9</v>
      </c>
      <c r="F379" s="233">
        <f t="shared" si="200"/>
        <v>988.89300000000003</v>
      </c>
      <c r="G379" s="658">
        <f t="shared" si="182"/>
        <v>99.99929214278491</v>
      </c>
      <c r="H379" s="233">
        <f t="shared" si="180"/>
        <v>6.9999999999481588E-3</v>
      </c>
    </row>
    <row r="380" spans="1:8" s="1" customFormat="1" ht="27" x14ac:dyDescent="0.3">
      <c r="A380" s="55"/>
      <c r="B380" s="7" t="s">
        <v>12</v>
      </c>
      <c r="C380" s="6" t="s">
        <v>11</v>
      </c>
      <c r="D380" s="233">
        <v>724.9</v>
      </c>
      <c r="E380" s="233">
        <v>724.9</v>
      </c>
      <c r="F380" s="233">
        <v>724.89300000000003</v>
      </c>
      <c r="G380" s="658">
        <f t="shared" si="182"/>
        <v>99.999034349565463</v>
      </c>
      <c r="H380" s="233">
        <f t="shared" si="180"/>
        <v>6.9999999999481588E-3</v>
      </c>
    </row>
    <row r="381" spans="1:8" s="1" customFormat="1" ht="27" x14ac:dyDescent="0.3">
      <c r="A381" s="55"/>
      <c r="B381" s="7" t="s">
        <v>57</v>
      </c>
      <c r="C381" s="6" t="s">
        <v>56</v>
      </c>
      <c r="D381" s="233">
        <v>264</v>
      </c>
      <c r="E381" s="233">
        <v>264</v>
      </c>
      <c r="F381" s="233">
        <v>264</v>
      </c>
      <c r="G381" s="658">
        <f t="shared" si="182"/>
        <v>100</v>
      </c>
      <c r="H381" s="233">
        <f t="shared" si="180"/>
        <v>0</v>
      </c>
    </row>
    <row r="382" spans="1:8" s="1" customFormat="1" ht="14.4" x14ac:dyDescent="0.3">
      <c r="A382" s="7" t="s">
        <v>314</v>
      </c>
      <c r="B382" s="7"/>
      <c r="C382" s="6" t="s">
        <v>313</v>
      </c>
      <c r="D382" s="233">
        <f>D383</f>
        <v>627.34082000000001</v>
      </c>
      <c r="E382" s="233">
        <f t="shared" ref="E382:F382" si="201">E383</f>
        <v>5286.2596400000002</v>
      </c>
      <c r="F382" s="233">
        <f t="shared" si="201"/>
        <v>772.84699000000001</v>
      </c>
      <c r="G382" s="658">
        <f t="shared" si="182"/>
        <v>14.619921128202474</v>
      </c>
      <c r="H382" s="233">
        <f t="shared" si="180"/>
        <v>4513.4126500000002</v>
      </c>
    </row>
    <row r="383" spans="1:8" s="1" customFormat="1" ht="27" x14ac:dyDescent="0.3">
      <c r="A383" s="55"/>
      <c r="B383" s="7" t="s">
        <v>12</v>
      </c>
      <c r="C383" s="6" t="s">
        <v>11</v>
      </c>
      <c r="D383" s="233">
        <f>D385</f>
        <v>627.34082000000001</v>
      </c>
      <c r="E383" s="233">
        <f>E385+E384</f>
        <v>5286.2596400000002</v>
      </c>
      <c r="F383" s="233">
        <f>F385+F384</f>
        <v>772.84699000000001</v>
      </c>
      <c r="G383" s="658">
        <f t="shared" si="182"/>
        <v>14.619921128202474</v>
      </c>
      <c r="H383" s="233">
        <f t="shared" si="180"/>
        <v>4513.4126500000002</v>
      </c>
    </row>
    <row r="384" spans="1:8" s="1" customFormat="1" ht="14.4" x14ac:dyDescent="0.3">
      <c r="A384" s="405"/>
      <c r="B384" s="342"/>
      <c r="C384" s="101" t="s">
        <v>319</v>
      </c>
      <c r="D384" s="676"/>
      <c r="E384" s="676">
        <v>4050</v>
      </c>
      <c r="F384" s="676">
        <v>695.56227999999999</v>
      </c>
      <c r="G384" s="677"/>
      <c r="H384" s="676"/>
    </row>
    <row r="385" spans="1:8" s="1" customFormat="1" ht="14.4" x14ac:dyDescent="0.3">
      <c r="A385" s="55"/>
      <c r="B385" s="7"/>
      <c r="C385" s="101" t="s">
        <v>312</v>
      </c>
      <c r="D385" s="233">
        <v>627.34082000000001</v>
      </c>
      <c r="E385" s="233">
        <v>1236.25964</v>
      </c>
      <c r="F385" s="233">
        <v>77.284710000000004</v>
      </c>
      <c r="G385" s="658">
        <f t="shared" si="182"/>
        <v>6.2514950338425672</v>
      </c>
      <c r="H385" s="233">
        <f t="shared" si="180"/>
        <v>1158.9749300000001</v>
      </c>
    </row>
    <row r="386" spans="1:8" s="1" customFormat="1" ht="14.4" x14ac:dyDescent="0.3">
      <c r="A386" s="55" t="s">
        <v>790</v>
      </c>
      <c r="B386" s="278"/>
      <c r="C386" s="283" t="s">
        <v>789</v>
      </c>
      <c r="D386" s="280">
        <f>D387</f>
        <v>330.9</v>
      </c>
      <c r="E386" s="280">
        <f t="shared" ref="E386:F386" si="202">E387</f>
        <v>330.9</v>
      </c>
      <c r="F386" s="280">
        <f t="shared" si="202"/>
        <v>330.9</v>
      </c>
      <c r="G386" s="665">
        <f t="shared" si="182"/>
        <v>100</v>
      </c>
      <c r="H386" s="280">
        <f t="shared" si="180"/>
        <v>0</v>
      </c>
    </row>
    <row r="387" spans="1:8" s="1" customFormat="1" ht="27" x14ac:dyDescent="0.3">
      <c r="A387" s="55"/>
      <c r="B387" s="7" t="s">
        <v>57</v>
      </c>
      <c r="C387" s="6" t="s">
        <v>56</v>
      </c>
      <c r="D387" s="280">
        <v>330.9</v>
      </c>
      <c r="E387" s="280">
        <v>330.9</v>
      </c>
      <c r="F387" s="280">
        <v>330.9</v>
      </c>
      <c r="G387" s="665">
        <f t="shared" si="182"/>
        <v>100</v>
      </c>
      <c r="H387" s="280">
        <f t="shared" si="180"/>
        <v>0</v>
      </c>
    </row>
    <row r="388" spans="1:8" s="1" customFormat="1" ht="53.4" x14ac:dyDescent="0.3">
      <c r="A388" s="55" t="s">
        <v>682</v>
      </c>
      <c r="B388" s="7"/>
      <c r="C388" s="101" t="s">
        <v>570</v>
      </c>
      <c r="D388" s="233">
        <f>D389</f>
        <v>461.23171000000002</v>
      </c>
      <c r="E388" s="233">
        <f t="shared" ref="E388:F388" si="203">E389</f>
        <v>429.96638000000002</v>
      </c>
      <c r="F388" s="233">
        <f t="shared" si="203"/>
        <v>336.49569000000002</v>
      </c>
      <c r="G388" s="658">
        <f t="shared" si="182"/>
        <v>78.260930540662272</v>
      </c>
      <c r="H388" s="233">
        <f t="shared" si="180"/>
        <v>93.470689999999991</v>
      </c>
    </row>
    <row r="389" spans="1:8" s="1" customFormat="1" ht="27" x14ac:dyDescent="0.3">
      <c r="A389" s="55"/>
      <c r="B389" s="7" t="s">
        <v>12</v>
      </c>
      <c r="C389" s="6" t="s">
        <v>11</v>
      </c>
      <c r="D389" s="233">
        <v>461.23171000000002</v>
      </c>
      <c r="E389" s="233">
        <v>429.96638000000002</v>
      </c>
      <c r="F389" s="233">
        <v>336.49569000000002</v>
      </c>
      <c r="G389" s="658">
        <f t="shared" si="182"/>
        <v>78.260930540662272</v>
      </c>
      <c r="H389" s="233">
        <f t="shared" si="180"/>
        <v>93.470689999999991</v>
      </c>
    </row>
    <row r="390" spans="1:8" s="1" customFormat="1" ht="27" x14ac:dyDescent="0.3">
      <c r="A390" s="55" t="s">
        <v>832</v>
      </c>
      <c r="B390" s="278"/>
      <c r="C390" s="283" t="s">
        <v>833</v>
      </c>
      <c r="D390" s="280">
        <f>D391</f>
        <v>586.33659999999998</v>
      </c>
      <c r="E390" s="280">
        <f t="shared" ref="E390:F390" si="204">E391</f>
        <v>586.33659999999998</v>
      </c>
      <c r="F390" s="280">
        <f t="shared" si="204"/>
        <v>586.33659999999998</v>
      </c>
      <c r="G390" s="665">
        <f t="shared" si="182"/>
        <v>100</v>
      </c>
      <c r="H390" s="280">
        <f t="shared" si="180"/>
        <v>0</v>
      </c>
    </row>
    <row r="391" spans="1:8" s="1" customFormat="1" ht="27" x14ac:dyDescent="0.3">
      <c r="A391" s="55"/>
      <c r="B391" s="7" t="s">
        <v>12</v>
      </c>
      <c r="C391" s="6" t="s">
        <v>11</v>
      </c>
      <c r="D391" s="280">
        <v>586.33659999999998</v>
      </c>
      <c r="E391" s="280">
        <v>586.33659999999998</v>
      </c>
      <c r="F391" s="280">
        <v>586.33659999999998</v>
      </c>
      <c r="G391" s="665">
        <f t="shared" si="182"/>
        <v>100</v>
      </c>
      <c r="H391" s="280">
        <f t="shared" si="180"/>
        <v>0</v>
      </c>
    </row>
    <row r="392" spans="1:8" s="1" customFormat="1" ht="27" x14ac:dyDescent="0.3">
      <c r="A392" s="190" t="s">
        <v>289</v>
      </c>
      <c r="B392" s="197"/>
      <c r="C392" s="201" t="s">
        <v>288</v>
      </c>
      <c r="D392" s="232">
        <f>D393+D395+D397+D399+D401+D403+D405</f>
        <v>2662.3074999999999</v>
      </c>
      <c r="E392" s="232">
        <f>E393+E395+E397+E399+E401+E403+E405</f>
        <v>4149.8549999999996</v>
      </c>
      <c r="F392" s="232">
        <f>F393+F395+F397+F399+F401+F403+F405</f>
        <v>4022.5995999999996</v>
      </c>
      <c r="G392" s="657">
        <f t="shared" si="182"/>
        <v>96.933497676424835</v>
      </c>
      <c r="H392" s="232">
        <f t="shared" si="180"/>
        <v>127.25540000000001</v>
      </c>
    </row>
    <row r="393" spans="1:8" s="1" customFormat="1" ht="14.4" x14ac:dyDescent="0.3">
      <c r="A393" s="7" t="s">
        <v>683</v>
      </c>
      <c r="B393" s="7"/>
      <c r="C393" s="6" t="s">
        <v>573</v>
      </c>
      <c r="D393" s="233">
        <f>D394</f>
        <v>394.4</v>
      </c>
      <c r="E393" s="233">
        <f t="shared" ref="E393:F393" si="205">E394</f>
        <v>394.4</v>
      </c>
      <c r="F393" s="233">
        <f t="shared" si="205"/>
        <v>394.4</v>
      </c>
      <c r="G393" s="658">
        <f t="shared" si="182"/>
        <v>100</v>
      </c>
      <c r="H393" s="233">
        <f t="shared" si="180"/>
        <v>0</v>
      </c>
    </row>
    <row r="394" spans="1:8" s="1" customFormat="1" ht="27" x14ac:dyDescent="0.3">
      <c r="A394" s="86"/>
      <c r="B394" s="7" t="s">
        <v>57</v>
      </c>
      <c r="C394" s="6" t="s">
        <v>56</v>
      </c>
      <c r="D394" s="233">
        <v>394.4</v>
      </c>
      <c r="E394" s="233">
        <v>394.4</v>
      </c>
      <c r="F394" s="233">
        <v>394.4</v>
      </c>
      <c r="G394" s="658">
        <f t="shared" si="182"/>
        <v>100</v>
      </c>
      <c r="H394" s="233">
        <f t="shared" si="180"/>
        <v>0</v>
      </c>
    </row>
    <row r="395" spans="1:8" s="1" customFormat="1" ht="27" x14ac:dyDescent="0.3">
      <c r="A395" s="7" t="s">
        <v>574</v>
      </c>
      <c r="B395" s="7"/>
      <c r="C395" s="6" t="s">
        <v>575</v>
      </c>
      <c r="D395" s="233">
        <f>D396</f>
        <v>580</v>
      </c>
      <c r="E395" s="233">
        <f t="shared" ref="E395:F395" si="206">E396</f>
        <v>580</v>
      </c>
      <c r="F395" s="233">
        <f t="shared" si="206"/>
        <v>580</v>
      </c>
      <c r="G395" s="658">
        <f t="shared" si="182"/>
        <v>100</v>
      </c>
      <c r="H395" s="233">
        <f t="shared" si="180"/>
        <v>0</v>
      </c>
    </row>
    <row r="396" spans="1:8" s="1" customFormat="1" ht="27" x14ac:dyDescent="0.3">
      <c r="A396" s="86"/>
      <c r="B396" s="7" t="s">
        <v>12</v>
      </c>
      <c r="C396" s="6" t="s">
        <v>11</v>
      </c>
      <c r="D396" s="233">
        <v>580</v>
      </c>
      <c r="E396" s="233">
        <v>580</v>
      </c>
      <c r="F396" s="233">
        <v>580</v>
      </c>
      <c r="G396" s="658">
        <f t="shared" si="182"/>
        <v>100</v>
      </c>
      <c r="H396" s="233">
        <f t="shared" si="180"/>
        <v>0</v>
      </c>
    </row>
    <row r="397" spans="1:8" s="1" customFormat="1" ht="14.4" x14ac:dyDescent="0.3">
      <c r="A397" s="7" t="s">
        <v>311</v>
      </c>
      <c r="B397" s="83"/>
      <c r="C397" s="6" t="s">
        <v>310</v>
      </c>
      <c r="D397" s="233">
        <f>D398</f>
        <v>0</v>
      </c>
      <c r="E397" s="233">
        <f t="shared" ref="E397:F397" si="207">E398</f>
        <v>0</v>
      </c>
      <c r="F397" s="233">
        <f t="shared" si="207"/>
        <v>0</v>
      </c>
      <c r="G397" s="658" t="e">
        <f t="shared" si="182"/>
        <v>#DIV/0!</v>
      </c>
      <c r="H397" s="233">
        <f t="shared" si="180"/>
        <v>0</v>
      </c>
    </row>
    <row r="398" spans="1:8" s="1" customFormat="1" ht="27" x14ac:dyDescent="0.3">
      <c r="A398" s="61"/>
      <c r="B398" s="7" t="s">
        <v>12</v>
      </c>
      <c r="C398" s="6" t="s">
        <v>11</v>
      </c>
      <c r="D398" s="233"/>
      <c r="E398" s="233"/>
      <c r="F398" s="233"/>
      <c r="G398" s="658" t="e">
        <f t="shared" si="182"/>
        <v>#DIV/0!</v>
      </c>
      <c r="H398" s="233">
        <f t="shared" si="180"/>
        <v>0</v>
      </c>
    </row>
    <row r="399" spans="1:8" s="1" customFormat="1" ht="27" x14ac:dyDescent="0.3">
      <c r="A399" s="7" t="s">
        <v>347</v>
      </c>
      <c r="B399" s="75"/>
      <c r="C399" s="12" t="s">
        <v>346</v>
      </c>
      <c r="D399" s="233">
        <f>D400</f>
        <v>648.5</v>
      </c>
      <c r="E399" s="233">
        <f t="shared" ref="E399:F399" si="208">E400</f>
        <v>648.5</v>
      </c>
      <c r="F399" s="233">
        <f t="shared" si="208"/>
        <v>521.24459999999999</v>
      </c>
      <c r="G399" s="658">
        <f t="shared" si="182"/>
        <v>80.376962220508858</v>
      </c>
      <c r="H399" s="233">
        <f t="shared" si="180"/>
        <v>127.25540000000001</v>
      </c>
    </row>
    <row r="400" spans="1:8" s="1" customFormat="1" ht="27" x14ac:dyDescent="0.3">
      <c r="A400" s="7"/>
      <c r="B400" s="7" t="s">
        <v>12</v>
      </c>
      <c r="C400" s="6" t="s">
        <v>11</v>
      </c>
      <c r="D400" s="233">
        <v>648.5</v>
      </c>
      <c r="E400" s="233">
        <v>648.5</v>
      </c>
      <c r="F400" s="233">
        <v>521.24459999999999</v>
      </c>
      <c r="G400" s="658">
        <f t="shared" si="182"/>
        <v>80.376962220508858</v>
      </c>
      <c r="H400" s="233">
        <f t="shared" si="180"/>
        <v>127.25540000000001</v>
      </c>
    </row>
    <row r="401" spans="1:8" s="1" customFormat="1" ht="27" x14ac:dyDescent="0.3">
      <c r="A401" s="7" t="s">
        <v>287</v>
      </c>
      <c r="B401" s="7"/>
      <c r="C401" s="6" t="s">
        <v>286</v>
      </c>
      <c r="D401" s="233">
        <f>D402</f>
        <v>36.1</v>
      </c>
      <c r="E401" s="233">
        <f t="shared" ref="E401:F401" si="209">E402</f>
        <v>36.1</v>
      </c>
      <c r="F401" s="233">
        <f t="shared" si="209"/>
        <v>36.1</v>
      </c>
      <c r="G401" s="658">
        <f t="shared" si="182"/>
        <v>100</v>
      </c>
      <c r="H401" s="233">
        <f t="shared" si="180"/>
        <v>0</v>
      </c>
    </row>
    <row r="402" spans="1:8" s="1" customFormat="1" ht="27" x14ac:dyDescent="0.3">
      <c r="A402" s="7"/>
      <c r="B402" s="7" t="s">
        <v>12</v>
      </c>
      <c r="C402" s="6" t="s">
        <v>11</v>
      </c>
      <c r="D402" s="233">
        <v>36.1</v>
      </c>
      <c r="E402" s="233">
        <v>36.1</v>
      </c>
      <c r="F402" s="233">
        <v>36.1</v>
      </c>
      <c r="G402" s="658">
        <f t="shared" ref="G402:G468" si="210">F402/E402*100</f>
        <v>100</v>
      </c>
      <c r="H402" s="233">
        <f t="shared" ref="H402:H468" si="211">E402-F402</f>
        <v>0</v>
      </c>
    </row>
    <row r="403" spans="1:8" s="1" customFormat="1" ht="27" x14ac:dyDescent="0.3">
      <c r="A403" s="7" t="s">
        <v>309</v>
      </c>
      <c r="B403" s="75"/>
      <c r="C403" s="12" t="s">
        <v>308</v>
      </c>
      <c r="D403" s="233">
        <f>D404</f>
        <v>591.9</v>
      </c>
      <c r="E403" s="233">
        <f t="shared" ref="E403:F403" si="212">E404</f>
        <v>507.45832999999999</v>
      </c>
      <c r="F403" s="233">
        <f t="shared" si="212"/>
        <v>507.45832999999999</v>
      </c>
      <c r="G403" s="658">
        <f t="shared" si="210"/>
        <v>100</v>
      </c>
      <c r="H403" s="233">
        <f t="shared" si="211"/>
        <v>0</v>
      </c>
    </row>
    <row r="404" spans="1:8" s="1" customFormat="1" ht="27" x14ac:dyDescent="0.3">
      <c r="A404" s="86"/>
      <c r="B404" s="7" t="s">
        <v>12</v>
      </c>
      <c r="C404" s="6" t="s">
        <v>11</v>
      </c>
      <c r="D404" s="233">
        <v>591.9</v>
      </c>
      <c r="E404" s="233">
        <v>507.45832999999999</v>
      </c>
      <c r="F404" s="233">
        <v>507.45832999999999</v>
      </c>
      <c r="G404" s="658">
        <f t="shared" si="210"/>
        <v>100</v>
      </c>
      <c r="H404" s="233">
        <f t="shared" si="211"/>
        <v>0</v>
      </c>
    </row>
    <row r="405" spans="1:8" s="1" customFormat="1" ht="93" x14ac:dyDescent="0.3">
      <c r="A405" s="7" t="s">
        <v>582</v>
      </c>
      <c r="B405" s="7"/>
      <c r="C405" s="6" t="s">
        <v>684</v>
      </c>
      <c r="D405" s="233">
        <f>D406</f>
        <v>411.40750000000003</v>
      </c>
      <c r="E405" s="233">
        <f t="shared" ref="E405:F405" si="213">E406</f>
        <v>1983.3966699999999</v>
      </c>
      <c r="F405" s="233">
        <f t="shared" si="213"/>
        <v>1983.3966699999999</v>
      </c>
      <c r="G405" s="658">
        <f t="shared" si="210"/>
        <v>100</v>
      </c>
      <c r="H405" s="233">
        <f t="shared" si="211"/>
        <v>0</v>
      </c>
    </row>
    <row r="406" spans="1:8" s="1" customFormat="1" ht="27" x14ac:dyDescent="0.3">
      <c r="A406" s="86"/>
      <c r="B406" s="7" t="s">
        <v>12</v>
      </c>
      <c r="C406" s="6" t="s">
        <v>11</v>
      </c>
      <c r="D406" s="233">
        <f>D408</f>
        <v>411.40750000000003</v>
      </c>
      <c r="E406" s="233">
        <f>E408+E407</f>
        <v>1983.3966699999999</v>
      </c>
      <c r="F406" s="233">
        <f>F408+F407</f>
        <v>1983.3966699999999</v>
      </c>
      <c r="G406" s="658">
        <f t="shared" si="210"/>
        <v>100</v>
      </c>
      <c r="H406" s="233">
        <f t="shared" si="211"/>
        <v>0</v>
      </c>
    </row>
    <row r="407" spans="1:8" s="1" customFormat="1" ht="14.4" x14ac:dyDescent="0.3">
      <c r="A407" s="412"/>
      <c r="B407" s="342"/>
      <c r="C407" s="6" t="s">
        <v>673</v>
      </c>
      <c r="D407" s="403"/>
      <c r="E407" s="682">
        <v>1487.5474999999999</v>
      </c>
      <c r="F407" s="682">
        <v>1487.5474999999999</v>
      </c>
      <c r="G407" s="658">
        <f t="shared" ref="G407" si="214">F407/E407*100</f>
        <v>100</v>
      </c>
      <c r="H407" s="233">
        <f t="shared" ref="H407" si="215">E407-F407</f>
        <v>0</v>
      </c>
    </row>
    <row r="408" spans="1:8" s="1" customFormat="1" ht="14.4" x14ac:dyDescent="0.3">
      <c r="A408" s="86"/>
      <c r="B408" s="7"/>
      <c r="C408" s="6" t="s">
        <v>77</v>
      </c>
      <c r="D408" s="233">
        <v>411.40750000000003</v>
      </c>
      <c r="E408" s="233">
        <v>495.84917000000002</v>
      </c>
      <c r="F408" s="233">
        <v>495.84917000000002</v>
      </c>
      <c r="G408" s="658">
        <f t="shared" si="210"/>
        <v>100</v>
      </c>
      <c r="H408" s="233">
        <f t="shared" si="211"/>
        <v>0</v>
      </c>
    </row>
    <row r="409" spans="1:8" s="1" customFormat="1" ht="53.4" x14ac:dyDescent="0.3">
      <c r="A409" s="190" t="s">
        <v>429</v>
      </c>
      <c r="B409" s="197"/>
      <c r="C409" s="201" t="s">
        <v>428</v>
      </c>
      <c r="D409" s="232">
        <f t="shared" ref="D409:F410" si="216">D410</f>
        <v>119</v>
      </c>
      <c r="E409" s="232">
        <f t="shared" si="216"/>
        <v>119</v>
      </c>
      <c r="F409" s="232">
        <f t="shared" si="216"/>
        <v>119</v>
      </c>
      <c r="G409" s="657">
        <f t="shared" si="210"/>
        <v>100</v>
      </c>
      <c r="H409" s="232">
        <f t="shared" si="211"/>
        <v>0</v>
      </c>
    </row>
    <row r="410" spans="1:8" s="1" customFormat="1" ht="53.4" x14ac:dyDescent="0.3">
      <c r="A410" s="55" t="s">
        <v>427</v>
      </c>
      <c r="B410" s="55"/>
      <c r="C410" s="6" t="s">
        <v>426</v>
      </c>
      <c r="D410" s="233">
        <f t="shared" si="216"/>
        <v>119</v>
      </c>
      <c r="E410" s="233">
        <f t="shared" si="216"/>
        <v>119</v>
      </c>
      <c r="F410" s="233">
        <f t="shared" si="216"/>
        <v>119</v>
      </c>
      <c r="G410" s="658">
        <f t="shared" si="210"/>
        <v>100</v>
      </c>
      <c r="H410" s="233">
        <f t="shared" si="211"/>
        <v>0</v>
      </c>
    </row>
    <row r="411" spans="1:8" s="1" customFormat="1" ht="27" x14ac:dyDescent="0.3">
      <c r="A411" s="55"/>
      <c r="B411" s="7" t="s">
        <v>12</v>
      </c>
      <c r="C411" s="6" t="s">
        <v>11</v>
      </c>
      <c r="D411" s="233">
        <f>892.1-773.1</f>
        <v>119</v>
      </c>
      <c r="E411" s="233">
        <f t="shared" ref="E411:F411" si="217">892.1-773.1</f>
        <v>119</v>
      </c>
      <c r="F411" s="233">
        <f t="shared" si="217"/>
        <v>119</v>
      </c>
      <c r="G411" s="658">
        <f t="shared" si="210"/>
        <v>100</v>
      </c>
      <c r="H411" s="233">
        <f t="shared" si="211"/>
        <v>0</v>
      </c>
    </row>
    <row r="412" spans="1:8" s="1" customFormat="1" ht="27" x14ac:dyDescent="0.3">
      <c r="A412" s="190" t="s">
        <v>307</v>
      </c>
      <c r="B412" s="190"/>
      <c r="C412" s="201" t="s">
        <v>306</v>
      </c>
      <c r="D412" s="232">
        <f t="shared" ref="D412:F413" si="218">D413</f>
        <v>22511.4</v>
      </c>
      <c r="E412" s="232">
        <f t="shared" si="218"/>
        <v>22511.4</v>
      </c>
      <c r="F412" s="232">
        <f t="shared" si="218"/>
        <v>22511.4</v>
      </c>
      <c r="G412" s="657">
        <f t="shared" si="210"/>
        <v>100</v>
      </c>
      <c r="H412" s="232">
        <f t="shared" si="211"/>
        <v>0</v>
      </c>
    </row>
    <row r="413" spans="1:8" s="1" customFormat="1" ht="27" x14ac:dyDescent="0.3">
      <c r="A413" s="7" t="s">
        <v>305</v>
      </c>
      <c r="B413" s="7"/>
      <c r="C413" s="115" t="s">
        <v>304</v>
      </c>
      <c r="D413" s="233">
        <f t="shared" si="218"/>
        <v>22511.4</v>
      </c>
      <c r="E413" s="233">
        <f t="shared" si="218"/>
        <v>22511.4</v>
      </c>
      <c r="F413" s="233">
        <f t="shared" si="218"/>
        <v>22511.4</v>
      </c>
      <c r="G413" s="658">
        <f t="shared" si="210"/>
        <v>100</v>
      </c>
      <c r="H413" s="233">
        <f t="shared" si="211"/>
        <v>0</v>
      </c>
    </row>
    <row r="414" spans="1:8" s="1" customFormat="1" ht="27" x14ac:dyDescent="0.3">
      <c r="A414" s="7"/>
      <c r="B414" s="7" t="s">
        <v>57</v>
      </c>
      <c r="C414" s="6" t="s">
        <v>56</v>
      </c>
      <c r="D414" s="233">
        <v>22511.4</v>
      </c>
      <c r="E414" s="233">
        <v>22511.4</v>
      </c>
      <c r="F414" s="233">
        <v>22511.4</v>
      </c>
      <c r="G414" s="658">
        <f t="shared" si="210"/>
        <v>100</v>
      </c>
      <c r="H414" s="233">
        <f t="shared" si="211"/>
        <v>0</v>
      </c>
    </row>
    <row r="415" spans="1:8" s="1" customFormat="1" ht="27" x14ac:dyDescent="0.3">
      <c r="A415" s="190" t="s">
        <v>791</v>
      </c>
      <c r="B415" s="197"/>
      <c r="C415" s="201" t="s">
        <v>786</v>
      </c>
      <c r="D415" s="232">
        <f t="shared" ref="D415" si="219">D416+D420</f>
        <v>1808.71695</v>
      </c>
      <c r="E415" s="232">
        <f>E416+E420+E424</f>
        <v>14771.61117</v>
      </c>
      <c r="F415" s="232">
        <f>F416+F420+F424</f>
        <v>14771.61117</v>
      </c>
      <c r="G415" s="657">
        <f t="shared" si="210"/>
        <v>100</v>
      </c>
      <c r="H415" s="232">
        <f t="shared" si="211"/>
        <v>0</v>
      </c>
    </row>
    <row r="416" spans="1:8" s="1" customFormat="1" ht="53.4" x14ac:dyDescent="0.3">
      <c r="A416" s="7" t="s">
        <v>792</v>
      </c>
      <c r="B416" s="7"/>
      <c r="C416" s="12" t="s">
        <v>581</v>
      </c>
      <c r="D416" s="233">
        <f t="shared" ref="D416:F416" si="220">D417</f>
        <v>1198.71695</v>
      </c>
      <c r="E416" s="233">
        <f t="shared" si="220"/>
        <v>1198.71695</v>
      </c>
      <c r="F416" s="233">
        <f t="shared" si="220"/>
        <v>1198.71695</v>
      </c>
      <c r="G416" s="658">
        <f t="shared" si="210"/>
        <v>100</v>
      </c>
      <c r="H416" s="233">
        <f t="shared" si="211"/>
        <v>0</v>
      </c>
    </row>
    <row r="417" spans="1:8" s="1" customFormat="1" ht="27" x14ac:dyDescent="0.3">
      <c r="A417" s="7"/>
      <c r="B417" s="7" t="s">
        <v>12</v>
      </c>
      <c r="C417" s="6" t="s">
        <v>11</v>
      </c>
      <c r="D417" s="233">
        <f>D419+D418</f>
        <v>1198.71695</v>
      </c>
      <c r="E417" s="233">
        <f t="shared" ref="E417:F417" si="221">E419+E418</f>
        <v>1198.71695</v>
      </c>
      <c r="F417" s="233">
        <f t="shared" si="221"/>
        <v>1198.71695</v>
      </c>
      <c r="G417" s="658">
        <f t="shared" si="210"/>
        <v>100</v>
      </c>
      <c r="H417" s="233">
        <f t="shared" si="211"/>
        <v>0</v>
      </c>
    </row>
    <row r="418" spans="1:8" s="1" customFormat="1" ht="14.4" x14ac:dyDescent="0.3">
      <c r="A418" s="7"/>
      <c r="B418" s="7"/>
      <c r="C418" s="6" t="s">
        <v>673</v>
      </c>
      <c r="D418" s="233">
        <v>840.91519000000005</v>
      </c>
      <c r="E418" s="233">
        <v>840.91519000000005</v>
      </c>
      <c r="F418" s="233">
        <v>840.91519000000005</v>
      </c>
      <c r="G418" s="658">
        <f t="shared" si="210"/>
        <v>100</v>
      </c>
      <c r="H418" s="233">
        <f t="shared" si="211"/>
        <v>0</v>
      </c>
    </row>
    <row r="419" spans="1:8" s="1" customFormat="1" ht="14.4" x14ac:dyDescent="0.3">
      <c r="A419" s="86"/>
      <c r="B419" s="7"/>
      <c r="C419" s="6" t="s">
        <v>77</v>
      </c>
      <c r="D419" s="233">
        <v>357.80176</v>
      </c>
      <c r="E419" s="233">
        <v>357.80176</v>
      </c>
      <c r="F419" s="233">
        <v>357.80176</v>
      </c>
      <c r="G419" s="658">
        <f t="shared" si="210"/>
        <v>100</v>
      </c>
      <c r="H419" s="233">
        <f t="shared" si="211"/>
        <v>0</v>
      </c>
    </row>
    <row r="420" spans="1:8" s="1" customFormat="1" ht="27" x14ac:dyDescent="0.3">
      <c r="A420" s="7" t="s">
        <v>793</v>
      </c>
      <c r="B420" s="278"/>
      <c r="C420" s="281" t="s">
        <v>794</v>
      </c>
      <c r="D420" s="280">
        <f t="shared" ref="D420:F420" si="222">D421</f>
        <v>610</v>
      </c>
      <c r="E420" s="280">
        <f t="shared" si="222"/>
        <v>6100</v>
      </c>
      <c r="F420" s="280">
        <f t="shared" si="222"/>
        <v>6100</v>
      </c>
      <c r="G420" s="665">
        <f t="shared" si="210"/>
        <v>100</v>
      </c>
      <c r="H420" s="280">
        <f t="shared" si="211"/>
        <v>0</v>
      </c>
    </row>
    <row r="421" spans="1:8" s="1" customFormat="1" ht="27" x14ac:dyDescent="0.3">
      <c r="A421" s="284"/>
      <c r="B421" s="7" t="s">
        <v>12</v>
      </c>
      <c r="C421" s="6" t="s">
        <v>11</v>
      </c>
      <c r="D421" s="280">
        <f>D423</f>
        <v>610</v>
      </c>
      <c r="E421" s="280">
        <f>E423+E422</f>
        <v>6100</v>
      </c>
      <c r="F421" s="280">
        <f>F423+F422</f>
        <v>6100</v>
      </c>
      <c r="G421" s="665">
        <f t="shared" si="210"/>
        <v>100</v>
      </c>
      <c r="H421" s="280">
        <f t="shared" si="211"/>
        <v>0</v>
      </c>
    </row>
    <row r="422" spans="1:8" s="1" customFormat="1" ht="14.4" x14ac:dyDescent="0.3">
      <c r="A422" s="412"/>
      <c r="B422" s="342"/>
      <c r="C422" s="6" t="s">
        <v>673</v>
      </c>
      <c r="D422" s="676"/>
      <c r="E422" s="676">
        <v>5490</v>
      </c>
      <c r="F422" s="676">
        <v>5490</v>
      </c>
      <c r="G422" s="665">
        <f t="shared" ref="G422" si="223">F422/E422*100</f>
        <v>100</v>
      </c>
      <c r="H422" s="280">
        <f t="shared" ref="H422" si="224">E422-F422</f>
        <v>0</v>
      </c>
    </row>
    <row r="423" spans="1:8" s="1" customFormat="1" ht="14.4" x14ac:dyDescent="0.3">
      <c r="A423" s="284"/>
      <c r="B423" s="278"/>
      <c r="C423" s="6" t="s">
        <v>77</v>
      </c>
      <c r="D423" s="280">
        <v>610</v>
      </c>
      <c r="E423" s="280">
        <v>610</v>
      </c>
      <c r="F423" s="280">
        <v>610</v>
      </c>
      <c r="G423" s="665">
        <f t="shared" si="210"/>
        <v>100</v>
      </c>
      <c r="H423" s="280">
        <f t="shared" si="211"/>
        <v>0</v>
      </c>
    </row>
    <row r="424" spans="1:8" s="1" customFormat="1" ht="79.8" x14ac:dyDescent="0.3">
      <c r="A424" s="7" t="s">
        <v>864</v>
      </c>
      <c r="B424" s="278"/>
      <c r="C424" s="281" t="s">
        <v>865</v>
      </c>
      <c r="D424" s="396"/>
      <c r="E424" s="688">
        <f>E425</f>
        <v>7472.8942200000001</v>
      </c>
      <c r="F424" s="688">
        <f>F425</f>
        <v>7472.8942200000001</v>
      </c>
      <c r="G424" s="689">
        <f t="shared" si="210"/>
        <v>100</v>
      </c>
      <c r="H424" s="280">
        <f t="shared" si="211"/>
        <v>0</v>
      </c>
    </row>
    <row r="425" spans="1:8" s="1" customFormat="1" ht="27" x14ac:dyDescent="0.3">
      <c r="A425" s="284"/>
      <c r="B425" s="7" t="s">
        <v>12</v>
      </c>
      <c r="C425" s="6" t="s">
        <v>11</v>
      </c>
      <c r="D425" s="396"/>
      <c r="E425" s="688">
        <f>E426+E427</f>
        <v>7472.8942200000001</v>
      </c>
      <c r="F425" s="688">
        <f>F426+F427</f>
        <v>7472.8942200000001</v>
      </c>
      <c r="G425" s="689">
        <f t="shared" si="210"/>
        <v>100</v>
      </c>
      <c r="H425" s="280">
        <f t="shared" si="211"/>
        <v>0</v>
      </c>
    </row>
    <row r="426" spans="1:8" s="1" customFormat="1" ht="14.4" x14ac:dyDescent="0.3">
      <c r="A426" s="412"/>
      <c r="B426" s="342"/>
      <c r="C426" s="6" t="s">
        <v>673</v>
      </c>
      <c r="D426" s="396"/>
      <c r="E426" s="688">
        <v>6725.6047900000003</v>
      </c>
      <c r="F426" s="688">
        <v>6725.6047900000003</v>
      </c>
      <c r="G426" s="689">
        <f t="shared" si="210"/>
        <v>100</v>
      </c>
      <c r="H426" s="280">
        <f t="shared" si="211"/>
        <v>0</v>
      </c>
    </row>
    <row r="427" spans="1:8" s="1" customFormat="1" ht="14.4" x14ac:dyDescent="0.3">
      <c r="A427" s="284"/>
      <c r="B427" s="278"/>
      <c r="C427" s="6" t="s">
        <v>77</v>
      </c>
      <c r="D427" s="396"/>
      <c r="E427" s="688">
        <v>747.28943000000004</v>
      </c>
      <c r="F427" s="688">
        <v>747.28943000000004</v>
      </c>
      <c r="G427" s="689">
        <f t="shared" si="210"/>
        <v>100</v>
      </c>
      <c r="H427" s="280">
        <f t="shared" si="211"/>
        <v>0</v>
      </c>
    </row>
    <row r="428" spans="1:8" s="1" customFormat="1" ht="40.200000000000003" x14ac:dyDescent="0.3">
      <c r="A428" s="31" t="s">
        <v>345</v>
      </c>
      <c r="B428" s="31"/>
      <c r="C428" s="82" t="s">
        <v>344</v>
      </c>
      <c r="D428" s="231">
        <f>D429+D446</f>
        <v>22600.527529999999</v>
      </c>
      <c r="E428" s="231">
        <f t="shared" ref="E428:F428" si="225">E429+E446</f>
        <v>22600.527529999999</v>
      </c>
      <c r="F428" s="231">
        <f t="shared" si="225"/>
        <v>19143.68735</v>
      </c>
      <c r="G428" s="656">
        <f t="shared" si="210"/>
        <v>84.704604016824916</v>
      </c>
      <c r="H428" s="231">
        <f t="shared" si="211"/>
        <v>3456.8401799999992</v>
      </c>
    </row>
    <row r="429" spans="1:8" s="1" customFormat="1" ht="53.4" x14ac:dyDescent="0.3">
      <c r="A429" s="190" t="s">
        <v>343</v>
      </c>
      <c r="B429" s="190"/>
      <c r="C429" s="201" t="s">
        <v>342</v>
      </c>
      <c r="D429" s="232">
        <f t="shared" ref="D429:F429" si="226">D430++D433++D435+D437+D439+D441+D444</f>
        <v>14078.798220000001</v>
      </c>
      <c r="E429" s="232">
        <f t="shared" si="226"/>
        <v>14078.798220000001</v>
      </c>
      <c r="F429" s="232">
        <f t="shared" si="226"/>
        <v>10621.95804</v>
      </c>
      <c r="G429" s="657">
        <f t="shared" si="210"/>
        <v>75.446482533649089</v>
      </c>
      <c r="H429" s="232">
        <f t="shared" si="211"/>
        <v>3456.8401800000011</v>
      </c>
    </row>
    <row r="430" spans="1:8" s="1" customFormat="1" ht="27" x14ac:dyDescent="0.3">
      <c r="A430" s="7" t="s">
        <v>339</v>
      </c>
      <c r="B430" s="7"/>
      <c r="C430" s="12" t="s">
        <v>338</v>
      </c>
      <c r="D430" s="233">
        <f>D431</f>
        <v>2686.5256300000001</v>
      </c>
      <c r="E430" s="233">
        <f>E431+E432</f>
        <v>2686.5256300000001</v>
      </c>
      <c r="F430" s="233">
        <f>F431+F432</f>
        <v>2686.5256300000001</v>
      </c>
      <c r="G430" s="658">
        <f t="shared" si="210"/>
        <v>100</v>
      </c>
      <c r="H430" s="233">
        <f t="shared" si="211"/>
        <v>0</v>
      </c>
    </row>
    <row r="431" spans="1:8" s="1" customFormat="1" ht="27" x14ac:dyDescent="0.3">
      <c r="A431" s="61"/>
      <c r="B431" s="7" t="s">
        <v>12</v>
      </c>
      <c r="C431" s="6" t="s">
        <v>11</v>
      </c>
      <c r="D431" s="233">
        <v>2686.5256300000001</v>
      </c>
      <c r="E431" s="233">
        <v>2187.81214</v>
      </c>
      <c r="F431" s="233">
        <v>2187.81214</v>
      </c>
      <c r="G431" s="658">
        <f t="shared" si="210"/>
        <v>100</v>
      </c>
      <c r="H431" s="233">
        <f t="shared" si="211"/>
        <v>0</v>
      </c>
    </row>
    <row r="432" spans="1:8" s="1" customFormat="1" ht="27" x14ac:dyDescent="0.3">
      <c r="A432" s="61"/>
      <c r="B432" s="7" t="s">
        <v>57</v>
      </c>
      <c r="C432" s="6" t="s">
        <v>56</v>
      </c>
      <c r="D432" s="233">
        <v>0</v>
      </c>
      <c r="E432" s="233">
        <v>498.71348999999998</v>
      </c>
      <c r="F432" s="233">
        <v>498.71348999999998</v>
      </c>
      <c r="G432" s="658">
        <f t="shared" si="210"/>
        <v>100</v>
      </c>
      <c r="H432" s="233">
        <f t="shared" si="211"/>
        <v>0</v>
      </c>
    </row>
    <row r="433" spans="1:8" s="1" customFormat="1" ht="66.599999999999994" x14ac:dyDescent="0.3">
      <c r="A433" s="7" t="s">
        <v>337</v>
      </c>
      <c r="B433" s="7"/>
      <c r="C433" s="6" t="s">
        <v>605</v>
      </c>
      <c r="D433" s="233">
        <f>D434</f>
        <v>278.66500000000002</v>
      </c>
      <c r="E433" s="233">
        <f t="shared" ref="E433:F433" si="227">E434</f>
        <v>278.66500000000002</v>
      </c>
      <c r="F433" s="233">
        <f t="shared" si="227"/>
        <v>278.66500000000002</v>
      </c>
      <c r="G433" s="658">
        <f t="shared" si="210"/>
        <v>100</v>
      </c>
      <c r="H433" s="233">
        <f t="shared" si="211"/>
        <v>0</v>
      </c>
    </row>
    <row r="434" spans="1:8" s="1" customFormat="1" ht="27" x14ac:dyDescent="0.3">
      <c r="A434" s="7"/>
      <c r="B434" s="7" t="s">
        <v>12</v>
      </c>
      <c r="C434" s="6" t="s">
        <v>11</v>
      </c>
      <c r="D434" s="233">
        <v>278.66500000000002</v>
      </c>
      <c r="E434" s="233">
        <v>278.66500000000002</v>
      </c>
      <c r="F434" s="233">
        <v>278.66500000000002</v>
      </c>
      <c r="G434" s="658">
        <f t="shared" si="210"/>
        <v>100</v>
      </c>
      <c r="H434" s="233">
        <f t="shared" si="211"/>
        <v>0</v>
      </c>
    </row>
    <row r="435" spans="1:8" s="1" customFormat="1" ht="27" x14ac:dyDescent="0.3">
      <c r="A435" s="55" t="s">
        <v>341</v>
      </c>
      <c r="B435" s="86"/>
      <c r="C435" s="6" t="s">
        <v>340</v>
      </c>
      <c r="D435" s="233">
        <f>D436</f>
        <v>0</v>
      </c>
      <c r="E435" s="233">
        <f t="shared" ref="E435:F435" si="228">E436</f>
        <v>0</v>
      </c>
      <c r="F435" s="233">
        <f t="shared" si="228"/>
        <v>0</v>
      </c>
      <c r="G435" s="658" t="e">
        <f t="shared" si="210"/>
        <v>#DIV/0!</v>
      </c>
      <c r="H435" s="233">
        <f t="shared" si="211"/>
        <v>0</v>
      </c>
    </row>
    <row r="436" spans="1:8" s="1" customFormat="1" ht="27" x14ac:dyDescent="0.3">
      <c r="A436" s="55"/>
      <c r="B436" s="7" t="s">
        <v>12</v>
      </c>
      <c r="C436" s="6" t="s">
        <v>11</v>
      </c>
      <c r="D436" s="233">
        <v>0</v>
      </c>
      <c r="E436" s="233">
        <v>0</v>
      </c>
      <c r="F436" s="233">
        <v>0</v>
      </c>
      <c r="G436" s="658" t="e">
        <f t="shared" si="210"/>
        <v>#DIV/0!</v>
      </c>
      <c r="H436" s="233">
        <f t="shared" si="211"/>
        <v>0</v>
      </c>
    </row>
    <row r="437" spans="1:8" s="1" customFormat="1" ht="66.599999999999994" x14ac:dyDescent="0.3">
      <c r="A437" s="75" t="s">
        <v>334</v>
      </c>
      <c r="B437" s="75"/>
      <c r="C437" s="6" t="s">
        <v>782</v>
      </c>
      <c r="D437" s="233">
        <f>D438</f>
        <v>104.50758999999999</v>
      </c>
      <c r="E437" s="233">
        <f t="shared" ref="E437:F437" si="229">E438</f>
        <v>83</v>
      </c>
      <c r="F437" s="233">
        <f t="shared" si="229"/>
        <v>83</v>
      </c>
      <c r="G437" s="658">
        <f t="shared" si="210"/>
        <v>100</v>
      </c>
      <c r="H437" s="233">
        <f t="shared" si="211"/>
        <v>0</v>
      </c>
    </row>
    <row r="438" spans="1:8" s="1" customFormat="1" ht="27" x14ac:dyDescent="0.3">
      <c r="A438" s="75"/>
      <c r="B438" s="75" t="s">
        <v>12</v>
      </c>
      <c r="C438" s="12" t="s">
        <v>11</v>
      </c>
      <c r="D438" s="233">
        <v>104.50758999999999</v>
      </c>
      <c r="E438" s="233">
        <v>83</v>
      </c>
      <c r="F438" s="233">
        <v>83</v>
      </c>
      <c r="G438" s="658">
        <f t="shared" si="210"/>
        <v>100</v>
      </c>
      <c r="H438" s="233">
        <f t="shared" si="211"/>
        <v>0</v>
      </c>
    </row>
    <row r="439" spans="1:8" s="1" customFormat="1" ht="27" x14ac:dyDescent="0.3">
      <c r="A439" s="7" t="s">
        <v>685</v>
      </c>
      <c r="B439" s="55"/>
      <c r="C439" s="6" t="s">
        <v>333</v>
      </c>
      <c r="D439" s="233">
        <f>D440</f>
        <v>685.6</v>
      </c>
      <c r="E439" s="233">
        <f t="shared" ref="E439:F439" si="230">E440</f>
        <v>707.10758999999996</v>
      </c>
      <c r="F439" s="233">
        <f t="shared" si="230"/>
        <v>707.10756000000003</v>
      </c>
      <c r="G439" s="658">
        <f t="shared" si="210"/>
        <v>99.999995757364175</v>
      </c>
      <c r="H439" s="233">
        <f t="shared" si="211"/>
        <v>2.9999999924257281E-5</v>
      </c>
    </row>
    <row r="440" spans="1:8" s="1" customFormat="1" ht="27" x14ac:dyDescent="0.3">
      <c r="A440" s="7"/>
      <c r="B440" s="7" t="s">
        <v>12</v>
      </c>
      <c r="C440" s="6" t="s">
        <v>11</v>
      </c>
      <c r="D440" s="233">
        <v>685.6</v>
      </c>
      <c r="E440" s="233">
        <v>707.10758999999996</v>
      </c>
      <c r="F440" s="233">
        <v>707.10756000000003</v>
      </c>
      <c r="G440" s="658">
        <f t="shared" si="210"/>
        <v>99.999995757364175</v>
      </c>
      <c r="H440" s="233">
        <f t="shared" si="211"/>
        <v>2.9999999924257281E-5</v>
      </c>
    </row>
    <row r="441" spans="1:8" s="1" customFormat="1" ht="27" x14ac:dyDescent="0.3">
      <c r="A441" s="7" t="s">
        <v>686</v>
      </c>
      <c r="B441" s="98"/>
      <c r="C441" s="102" t="s">
        <v>332</v>
      </c>
      <c r="D441" s="233">
        <f>D442</f>
        <v>9723.5</v>
      </c>
      <c r="E441" s="233">
        <f>E442+E443</f>
        <v>9723.5</v>
      </c>
      <c r="F441" s="233">
        <f>F442+F443</f>
        <v>6266.65985</v>
      </c>
      <c r="G441" s="658">
        <f t="shared" si="210"/>
        <v>64.44860235511905</v>
      </c>
      <c r="H441" s="233">
        <f t="shared" si="211"/>
        <v>3456.84015</v>
      </c>
    </row>
    <row r="442" spans="1:8" s="1" customFormat="1" ht="27" x14ac:dyDescent="0.3">
      <c r="A442" s="7"/>
      <c r="B442" s="7" t="s">
        <v>12</v>
      </c>
      <c r="C442" s="6" t="s">
        <v>11</v>
      </c>
      <c r="D442" s="233">
        <f>8219+1504.5</f>
        <v>9723.5</v>
      </c>
      <c r="E442" s="233">
        <f>8219.32403</f>
        <v>8219.3240299999998</v>
      </c>
      <c r="F442" s="233">
        <v>4762.4838799999998</v>
      </c>
      <c r="G442" s="658">
        <f t="shared" si="210"/>
        <v>57.942524988882816</v>
      </c>
      <c r="H442" s="233">
        <f t="shared" si="211"/>
        <v>3456.84015</v>
      </c>
    </row>
    <row r="443" spans="1:8" s="1" customFormat="1" ht="27" x14ac:dyDescent="0.3">
      <c r="A443" s="342"/>
      <c r="B443" s="7" t="s">
        <v>57</v>
      </c>
      <c r="C443" s="6" t="s">
        <v>56</v>
      </c>
      <c r="D443" s="676"/>
      <c r="E443" s="676">
        <f>1079.42888+424.74709</f>
        <v>1504.17597</v>
      </c>
      <c r="F443" s="676">
        <f>1079.42888+424.74709</f>
        <v>1504.17597</v>
      </c>
      <c r="G443" s="658">
        <f t="shared" ref="G443" si="231">F443/E443*100</f>
        <v>100</v>
      </c>
      <c r="H443" s="233">
        <f t="shared" ref="H443" si="232">E443-F443</f>
        <v>0</v>
      </c>
    </row>
    <row r="444" spans="1:8" s="1" customFormat="1" ht="27" x14ac:dyDescent="0.3">
      <c r="A444" s="7" t="s">
        <v>687</v>
      </c>
      <c r="B444" s="7"/>
      <c r="C444" s="6" t="s">
        <v>691</v>
      </c>
      <c r="D444" s="233">
        <f>D445</f>
        <v>599.99999999999977</v>
      </c>
      <c r="E444" s="233">
        <f t="shared" ref="E444:F444" si="233">E445</f>
        <v>599.99999999999977</v>
      </c>
      <c r="F444" s="233">
        <f t="shared" si="233"/>
        <v>599.99999999999977</v>
      </c>
      <c r="G444" s="658">
        <f t="shared" si="210"/>
        <v>100</v>
      </c>
      <c r="H444" s="233">
        <f t="shared" si="211"/>
        <v>0</v>
      </c>
    </row>
    <row r="445" spans="1:8" s="1" customFormat="1" ht="27" x14ac:dyDescent="0.3">
      <c r="A445" s="7"/>
      <c r="B445" s="7" t="s">
        <v>12</v>
      </c>
      <c r="C445" s="6" t="s">
        <v>11</v>
      </c>
      <c r="D445" s="233">
        <f>2099.2-1499.2</f>
        <v>599.99999999999977</v>
      </c>
      <c r="E445" s="233">
        <f t="shared" ref="E445:F445" si="234">2099.2-1499.2</f>
        <v>599.99999999999977</v>
      </c>
      <c r="F445" s="233">
        <f t="shared" si="234"/>
        <v>599.99999999999977</v>
      </c>
      <c r="G445" s="658">
        <f t="shared" si="210"/>
        <v>100</v>
      </c>
      <c r="H445" s="233">
        <f t="shared" si="211"/>
        <v>0</v>
      </c>
    </row>
    <row r="446" spans="1:8" s="1" customFormat="1" ht="27" x14ac:dyDescent="0.3">
      <c r="A446" s="285" t="s">
        <v>816</v>
      </c>
      <c r="B446" s="285"/>
      <c r="C446" s="295" t="s">
        <v>786</v>
      </c>
      <c r="D446" s="232">
        <f t="shared" ref="D446:F446" si="235">D447</f>
        <v>8521.7293100000006</v>
      </c>
      <c r="E446" s="232">
        <f t="shared" si="235"/>
        <v>8521.7293100000006</v>
      </c>
      <c r="F446" s="232">
        <f t="shared" si="235"/>
        <v>8521.7293100000006</v>
      </c>
      <c r="G446" s="657">
        <f t="shared" si="210"/>
        <v>100</v>
      </c>
      <c r="H446" s="232">
        <f t="shared" si="211"/>
        <v>0</v>
      </c>
    </row>
    <row r="447" spans="1:8" s="1" customFormat="1" ht="79.2" x14ac:dyDescent="0.3">
      <c r="A447" s="278" t="s">
        <v>817</v>
      </c>
      <c r="B447" s="278"/>
      <c r="C447" s="321" t="s">
        <v>335</v>
      </c>
      <c r="D447" s="233">
        <f t="shared" ref="D447:F447" si="236">D448</f>
        <v>8521.7293100000006</v>
      </c>
      <c r="E447" s="233">
        <f t="shared" si="236"/>
        <v>8521.7293100000006</v>
      </c>
      <c r="F447" s="233">
        <f t="shared" si="236"/>
        <v>8521.7293100000006</v>
      </c>
      <c r="G447" s="658">
        <f t="shared" si="210"/>
        <v>100</v>
      </c>
      <c r="H447" s="233">
        <f t="shared" si="211"/>
        <v>0</v>
      </c>
    </row>
    <row r="448" spans="1:8" s="1" customFormat="1" ht="27" x14ac:dyDescent="0.3">
      <c r="A448" s="282"/>
      <c r="B448" s="278" t="s">
        <v>12</v>
      </c>
      <c r="C448" s="281" t="s">
        <v>11</v>
      </c>
      <c r="D448" s="233">
        <f>D449+D450</f>
        <v>8521.7293100000006</v>
      </c>
      <c r="E448" s="233">
        <f t="shared" ref="E448:F448" si="237">E449+E450</f>
        <v>8521.7293100000006</v>
      </c>
      <c r="F448" s="233">
        <f t="shared" si="237"/>
        <v>8521.7293100000006</v>
      </c>
      <c r="G448" s="658">
        <f t="shared" si="210"/>
        <v>100</v>
      </c>
      <c r="H448" s="233">
        <f t="shared" si="211"/>
        <v>0</v>
      </c>
    </row>
    <row r="449" spans="1:8" s="1" customFormat="1" ht="14.4" x14ac:dyDescent="0.3">
      <c r="A449" s="282"/>
      <c r="B449" s="278"/>
      <c r="C449" s="281" t="s">
        <v>157</v>
      </c>
      <c r="D449" s="233">
        <v>6391.2969800000001</v>
      </c>
      <c r="E449" s="233">
        <v>6391.2969800000001</v>
      </c>
      <c r="F449" s="233">
        <v>6391.2969800000001</v>
      </c>
      <c r="G449" s="658">
        <f t="shared" si="210"/>
        <v>100</v>
      </c>
      <c r="H449" s="233">
        <f t="shared" si="211"/>
        <v>0</v>
      </c>
    </row>
    <row r="450" spans="1:8" s="1" customFormat="1" ht="14.4" x14ac:dyDescent="0.3">
      <c r="A450" s="282"/>
      <c r="B450" s="278"/>
      <c r="C450" s="303" t="s">
        <v>156</v>
      </c>
      <c r="D450" s="233">
        <v>2130.4323300000001</v>
      </c>
      <c r="E450" s="233">
        <v>2130.4323300000001</v>
      </c>
      <c r="F450" s="233">
        <v>2130.4323300000001</v>
      </c>
      <c r="G450" s="658">
        <f t="shared" si="210"/>
        <v>100</v>
      </c>
      <c r="H450" s="233">
        <f t="shared" si="211"/>
        <v>0</v>
      </c>
    </row>
    <row r="451" spans="1:8" s="1" customFormat="1" ht="40.200000000000003" x14ac:dyDescent="0.3">
      <c r="A451" s="206" t="s">
        <v>416</v>
      </c>
      <c r="B451" s="206"/>
      <c r="C451" s="209" t="s">
        <v>415</v>
      </c>
      <c r="D451" s="230">
        <f>D452+D477+D481</f>
        <v>132885.69130999999</v>
      </c>
      <c r="E451" s="230">
        <f>E452+E477+E481</f>
        <v>157798.98454999999</v>
      </c>
      <c r="F451" s="230">
        <f>F452+F477+F481</f>
        <v>157067.42397</v>
      </c>
      <c r="G451" s="655">
        <f t="shared" si="210"/>
        <v>99.536397156112116</v>
      </c>
      <c r="H451" s="230">
        <f t="shared" si="211"/>
        <v>731.5605799999903</v>
      </c>
    </row>
    <row r="452" spans="1:8" s="1" customFormat="1" ht="40.200000000000003" x14ac:dyDescent="0.3">
      <c r="A452" s="31" t="s">
        <v>414</v>
      </c>
      <c r="B452" s="31"/>
      <c r="C452" s="52" t="s">
        <v>413</v>
      </c>
      <c r="D452" s="231">
        <f>D453+D456+D459+D468+D471</f>
        <v>126646.25606000001</v>
      </c>
      <c r="E452" s="231">
        <f>E453+E456+E459+E468+E471</f>
        <v>151559.54930000001</v>
      </c>
      <c r="F452" s="231">
        <f>F453+F456+F459+F468+F471</f>
        <v>150861.17071999999</v>
      </c>
      <c r="G452" s="656">
        <f t="shared" si="210"/>
        <v>99.539205161782562</v>
      </c>
      <c r="H452" s="231">
        <f t="shared" si="211"/>
        <v>698.3785800000187</v>
      </c>
    </row>
    <row r="453" spans="1:8" s="1" customFormat="1" ht="53.4" x14ac:dyDescent="0.3">
      <c r="A453" s="190" t="s">
        <v>412</v>
      </c>
      <c r="B453" s="190"/>
      <c r="C453" s="191" t="s">
        <v>829</v>
      </c>
      <c r="D453" s="232">
        <f>D454</f>
        <v>539.5</v>
      </c>
      <c r="E453" s="232">
        <f t="shared" ref="E453:F453" si="238">E454</f>
        <v>539.5</v>
      </c>
      <c r="F453" s="232">
        <f t="shared" si="238"/>
        <v>539.5</v>
      </c>
      <c r="G453" s="657">
        <f t="shared" si="210"/>
        <v>100</v>
      </c>
      <c r="H453" s="232">
        <f t="shared" si="211"/>
        <v>0</v>
      </c>
    </row>
    <row r="454" spans="1:8" s="1" customFormat="1" ht="27" x14ac:dyDescent="0.3">
      <c r="A454" s="7" t="s">
        <v>828</v>
      </c>
      <c r="B454" s="61"/>
      <c r="C454" s="6" t="s">
        <v>827</v>
      </c>
      <c r="D454" s="233">
        <f>D455</f>
        <v>539.5</v>
      </c>
      <c r="E454" s="233">
        <f t="shared" ref="E454:F454" si="239">E455</f>
        <v>539.5</v>
      </c>
      <c r="F454" s="233">
        <f t="shared" si="239"/>
        <v>539.5</v>
      </c>
      <c r="G454" s="658">
        <f t="shared" si="210"/>
        <v>100</v>
      </c>
      <c r="H454" s="233">
        <f t="shared" si="211"/>
        <v>0</v>
      </c>
    </row>
    <row r="455" spans="1:8" s="1" customFormat="1" ht="27" x14ac:dyDescent="0.3">
      <c r="A455" s="7"/>
      <c r="B455" s="7" t="s">
        <v>12</v>
      </c>
      <c r="C455" s="6" t="s">
        <v>11</v>
      </c>
      <c r="D455" s="233">
        <v>539.5</v>
      </c>
      <c r="E455" s="233">
        <v>539.5</v>
      </c>
      <c r="F455" s="233">
        <v>539.5</v>
      </c>
      <c r="G455" s="658">
        <f t="shared" si="210"/>
        <v>100</v>
      </c>
      <c r="H455" s="233">
        <f t="shared" si="211"/>
        <v>0</v>
      </c>
    </row>
    <row r="456" spans="1:8" s="1" customFormat="1" ht="27" x14ac:dyDescent="0.3">
      <c r="A456" s="190" t="s">
        <v>411</v>
      </c>
      <c r="B456" s="190"/>
      <c r="C456" s="191" t="s">
        <v>410</v>
      </c>
      <c r="D456" s="232">
        <f>D457</f>
        <v>200</v>
      </c>
      <c r="E456" s="232">
        <f t="shared" ref="E456:F456" si="240">E457</f>
        <v>200</v>
      </c>
      <c r="F456" s="232">
        <f t="shared" si="240"/>
        <v>200</v>
      </c>
      <c r="G456" s="657">
        <f t="shared" si="210"/>
        <v>100</v>
      </c>
      <c r="H456" s="232">
        <f t="shared" si="211"/>
        <v>0</v>
      </c>
    </row>
    <row r="457" spans="1:8" s="1" customFormat="1" ht="40.200000000000003" x14ac:dyDescent="0.3">
      <c r="A457" s="7" t="s">
        <v>770</v>
      </c>
      <c r="B457" s="61"/>
      <c r="C457" s="6" t="s">
        <v>580</v>
      </c>
      <c r="D457" s="233">
        <f>D458</f>
        <v>200</v>
      </c>
      <c r="E457" s="233">
        <f t="shared" ref="E457:F457" si="241">E458</f>
        <v>200</v>
      </c>
      <c r="F457" s="233">
        <f t="shared" si="241"/>
        <v>200</v>
      </c>
      <c r="G457" s="658">
        <f t="shared" si="210"/>
        <v>100</v>
      </c>
      <c r="H457" s="233">
        <f t="shared" si="211"/>
        <v>0</v>
      </c>
    </row>
    <row r="458" spans="1:8" s="1" customFormat="1" ht="27" x14ac:dyDescent="0.3">
      <c r="A458" s="7"/>
      <c r="B458" s="7" t="s">
        <v>12</v>
      </c>
      <c r="C458" s="6" t="s">
        <v>11</v>
      </c>
      <c r="D458" s="233">
        <v>200</v>
      </c>
      <c r="E458" s="233">
        <v>200</v>
      </c>
      <c r="F458" s="233">
        <v>200</v>
      </c>
      <c r="G458" s="658">
        <f t="shared" si="210"/>
        <v>100</v>
      </c>
      <c r="H458" s="233">
        <f t="shared" si="211"/>
        <v>0</v>
      </c>
    </row>
    <row r="459" spans="1:8" s="1" customFormat="1" ht="27" x14ac:dyDescent="0.3">
      <c r="A459" s="190" t="s">
        <v>409</v>
      </c>
      <c r="B459" s="190"/>
      <c r="C459" s="191" t="s">
        <v>408</v>
      </c>
      <c r="D459" s="232">
        <f t="shared" ref="D459:F459" si="242">D460+D464+D466</f>
        <v>43647.675919999994</v>
      </c>
      <c r="E459" s="232">
        <f t="shared" si="242"/>
        <v>43580.471489999996</v>
      </c>
      <c r="F459" s="232">
        <f t="shared" si="242"/>
        <v>43580.471489999996</v>
      </c>
      <c r="G459" s="657">
        <f t="shared" si="210"/>
        <v>100</v>
      </c>
      <c r="H459" s="232">
        <f t="shared" si="211"/>
        <v>0</v>
      </c>
    </row>
    <row r="460" spans="1:8" s="1" customFormat="1" ht="27" x14ac:dyDescent="0.3">
      <c r="A460" s="7" t="s">
        <v>765</v>
      </c>
      <c r="B460" s="61"/>
      <c r="C460" s="6" t="s">
        <v>407</v>
      </c>
      <c r="D460" s="233">
        <f>D461</f>
        <v>29022.643989999997</v>
      </c>
      <c r="E460" s="233">
        <f t="shared" ref="E460:F460" si="243">E461</f>
        <v>28955.439559999999</v>
      </c>
      <c r="F460" s="233">
        <f t="shared" si="243"/>
        <v>28955.439559999999</v>
      </c>
      <c r="G460" s="658">
        <f t="shared" si="210"/>
        <v>100</v>
      </c>
      <c r="H460" s="233">
        <f t="shared" si="211"/>
        <v>0</v>
      </c>
    </row>
    <row r="461" spans="1:8" s="1" customFormat="1" ht="27" x14ac:dyDescent="0.3">
      <c r="A461" s="7"/>
      <c r="B461" s="7" t="s">
        <v>12</v>
      </c>
      <c r="C461" s="6" t="s">
        <v>11</v>
      </c>
      <c r="D461" s="233">
        <f>D462+D463</f>
        <v>29022.643989999997</v>
      </c>
      <c r="E461" s="233">
        <f t="shared" ref="E461:F461" si="244">E462+E463</f>
        <v>28955.439559999999</v>
      </c>
      <c r="F461" s="233">
        <f t="shared" si="244"/>
        <v>28955.439559999999</v>
      </c>
      <c r="G461" s="658">
        <f t="shared" si="210"/>
        <v>100</v>
      </c>
      <c r="H461" s="233">
        <f t="shared" si="211"/>
        <v>0</v>
      </c>
    </row>
    <row r="462" spans="1:8" s="1" customFormat="1" ht="14.4" x14ac:dyDescent="0.3">
      <c r="A462" s="7"/>
      <c r="B462" s="7"/>
      <c r="C462" s="6" t="s">
        <v>222</v>
      </c>
      <c r="D462" s="233">
        <v>26127.1</v>
      </c>
      <c r="E462" s="233">
        <v>26059.895570000001</v>
      </c>
      <c r="F462" s="233">
        <v>26059.895570000001</v>
      </c>
      <c r="G462" s="658">
        <f t="shared" si="210"/>
        <v>100</v>
      </c>
      <c r="H462" s="233">
        <f t="shared" si="211"/>
        <v>0</v>
      </c>
    </row>
    <row r="463" spans="1:8" s="1" customFormat="1" ht="14.4" x14ac:dyDescent="0.3">
      <c r="A463" s="7"/>
      <c r="B463" s="7"/>
      <c r="C463" s="6" t="s">
        <v>106</v>
      </c>
      <c r="D463" s="233">
        <v>2895.5439900000001</v>
      </c>
      <c r="E463" s="233">
        <v>2895.5439900000001</v>
      </c>
      <c r="F463" s="233">
        <v>2895.5439900000001</v>
      </c>
      <c r="G463" s="658">
        <f t="shared" si="210"/>
        <v>100</v>
      </c>
      <c r="H463" s="233">
        <f t="shared" si="211"/>
        <v>0</v>
      </c>
    </row>
    <row r="464" spans="1:8" s="1" customFormat="1" ht="27" x14ac:dyDescent="0.3">
      <c r="A464" s="7" t="s">
        <v>769</v>
      </c>
      <c r="B464" s="61"/>
      <c r="C464" s="6" t="s">
        <v>406</v>
      </c>
      <c r="D464" s="233">
        <f>D465</f>
        <v>4858.5</v>
      </c>
      <c r="E464" s="233">
        <f t="shared" ref="E464:F464" si="245">E465</f>
        <v>4858.5</v>
      </c>
      <c r="F464" s="233">
        <f t="shared" si="245"/>
        <v>4858.5</v>
      </c>
      <c r="G464" s="658">
        <f t="shared" si="210"/>
        <v>100</v>
      </c>
      <c r="H464" s="233">
        <f t="shared" si="211"/>
        <v>0</v>
      </c>
    </row>
    <row r="465" spans="1:8" s="1" customFormat="1" ht="27" x14ac:dyDescent="0.3">
      <c r="A465" s="7"/>
      <c r="B465" s="7" t="s">
        <v>12</v>
      </c>
      <c r="C465" s="6" t="s">
        <v>11</v>
      </c>
      <c r="D465" s="233">
        <f>4060.9+797.6</f>
        <v>4858.5</v>
      </c>
      <c r="E465" s="233">
        <f t="shared" ref="E465:F465" si="246">4060.9+797.6</f>
        <v>4858.5</v>
      </c>
      <c r="F465" s="233">
        <f t="shared" si="246"/>
        <v>4858.5</v>
      </c>
      <c r="G465" s="658">
        <f t="shared" si="210"/>
        <v>100</v>
      </c>
      <c r="H465" s="233">
        <f t="shared" si="211"/>
        <v>0</v>
      </c>
    </row>
    <row r="466" spans="1:8" s="1" customFormat="1" ht="14.4" x14ac:dyDescent="0.3">
      <c r="A466" s="7" t="s">
        <v>768</v>
      </c>
      <c r="B466" s="61"/>
      <c r="C466" s="6" t="s">
        <v>405</v>
      </c>
      <c r="D466" s="233">
        <f t="shared" ref="D466:F466" si="247">D467</f>
        <v>9766.5319299999992</v>
      </c>
      <c r="E466" s="233">
        <f t="shared" si="247"/>
        <v>9766.5319299999992</v>
      </c>
      <c r="F466" s="233">
        <f t="shared" si="247"/>
        <v>9766.5319299999992</v>
      </c>
      <c r="G466" s="658">
        <f t="shared" si="210"/>
        <v>100</v>
      </c>
      <c r="H466" s="233">
        <f t="shared" si="211"/>
        <v>0</v>
      </c>
    </row>
    <row r="467" spans="1:8" s="1" customFormat="1" ht="27" x14ac:dyDescent="0.3">
      <c r="A467" s="98"/>
      <c r="B467" s="7" t="s">
        <v>12</v>
      </c>
      <c r="C467" s="6" t="s">
        <v>11</v>
      </c>
      <c r="D467" s="233">
        <v>9766.5319299999992</v>
      </c>
      <c r="E467" s="233">
        <v>9766.5319299999992</v>
      </c>
      <c r="F467" s="233">
        <v>9766.5319299999992</v>
      </c>
      <c r="G467" s="658">
        <f t="shared" si="210"/>
        <v>100</v>
      </c>
      <c r="H467" s="233">
        <f t="shared" si="211"/>
        <v>0</v>
      </c>
    </row>
    <row r="468" spans="1:8" s="1" customFormat="1" ht="27" x14ac:dyDescent="0.3">
      <c r="A468" s="190" t="s">
        <v>404</v>
      </c>
      <c r="B468" s="190"/>
      <c r="C468" s="191" t="s">
        <v>403</v>
      </c>
      <c r="D468" s="232">
        <f t="shared" ref="D468:F469" si="248">D469</f>
        <v>31983.9</v>
      </c>
      <c r="E468" s="232">
        <f t="shared" si="248"/>
        <v>31983.9</v>
      </c>
      <c r="F468" s="232">
        <f t="shared" si="248"/>
        <v>31285.521420000001</v>
      </c>
      <c r="G468" s="657">
        <f t="shared" si="210"/>
        <v>97.816468348137647</v>
      </c>
      <c r="H468" s="232">
        <f t="shared" si="211"/>
        <v>698.37858000000051</v>
      </c>
    </row>
    <row r="469" spans="1:8" s="1" customFormat="1" ht="40.200000000000003" x14ac:dyDescent="0.3">
      <c r="A469" s="7" t="s">
        <v>767</v>
      </c>
      <c r="B469" s="61"/>
      <c r="C469" s="6" t="s">
        <v>402</v>
      </c>
      <c r="D469" s="233">
        <f t="shared" si="248"/>
        <v>31983.9</v>
      </c>
      <c r="E469" s="233">
        <f t="shared" si="248"/>
        <v>31983.9</v>
      </c>
      <c r="F469" s="233">
        <f t="shared" si="248"/>
        <v>31285.521420000001</v>
      </c>
      <c r="G469" s="658">
        <f t="shared" ref="G469:G532" si="249">F469/E469*100</f>
        <v>97.816468348137647</v>
      </c>
      <c r="H469" s="233">
        <f t="shared" ref="H469:H531" si="250">E469-F469</f>
        <v>698.37858000000051</v>
      </c>
    </row>
    <row r="470" spans="1:8" s="1" customFormat="1" ht="27" x14ac:dyDescent="0.3">
      <c r="A470" s="7"/>
      <c r="B470" s="7" t="s">
        <v>12</v>
      </c>
      <c r="C470" s="6" t="s">
        <v>11</v>
      </c>
      <c r="D470" s="233">
        <v>31983.9</v>
      </c>
      <c r="E470" s="233">
        <v>31983.9</v>
      </c>
      <c r="F470" s="233">
        <v>31285.521420000001</v>
      </c>
      <c r="G470" s="658">
        <f t="shared" si="249"/>
        <v>97.816468348137647</v>
      </c>
      <c r="H470" s="233">
        <f t="shared" si="250"/>
        <v>698.37858000000051</v>
      </c>
    </row>
    <row r="471" spans="1:8" s="1" customFormat="1" ht="41.25" customHeight="1" x14ac:dyDescent="0.3">
      <c r="A471" s="190" t="s">
        <v>798</v>
      </c>
      <c r="B471" s="190"/>
      <c r="C471" s="193" t="s">
        <v>401</v>
      </c>
      <c r="D471" s="232">
        <f t="shared" ref="D471:F472" si="251">D472</f>
        <v>50275.180140000004</v>
      </c>
      <c r="E471" s="232">
        <f t="shared" si="251"/>
        <v>75255.677810000008</v>
      </c>
      <c r="F471" s="232">
        <f t="shared" si="251"/>
        <v>75255.677810000008</v>
      </c>
      <c r="G471" s="657">
        <f t="shared" si="249"/>
        <v>100</v>
      </c>
      <c r="H471" s="232">
        <f t="shared" si="250"/>
        <v>0</v>
      </c>
    </row>
    <row r="472" spans="1:8" s="1" customFormat="1" ht="27" x14ac:dyDescent="0.3">
      <c r="A472" s="7" t="s">
        <v>799</v>
      </c>
      <c r="B472" s="7"/>
      <c r="C472" s="12" t="s">
        <v>400</v>
      </c>
      <c r="D472" s="233">
        <f t="shared" si="251"/>
        <v>50275.180140000004</v>
      </c>
      <c r="E472" s="233">
        <f t="shared" si="251"/>
        <v>75255.677810000008</v>
      </c>
      <c r="F472" s="233">
        <f t="shared" si="251"/>
        <v>75255.677810000008</v>
      </c>
      <c r="G472" s="658">
        <f t="shared" si="249"/>
        <v>100</v>
      </c>
      <c r="H472" s="233">
        <f t="shared" si="250"/>
        <v>0</v>
      </c>
    </row>
    <row r="473" spans="1:8" s="1" customFormat="1" ht="27" x14ac:dyDescent="0.3">
      <c r="A473" s="7"/>
      <c r="B473" s="7" t="s">
        <v>12</v>
      </c>
      <c r="C473" s="6" t="s">
        <v>11</v>
      </c>
      <c r="D473" s="233">
        <f t="shared" ref="D473:F473" si="252">D474+D475+D476</f>
        <v>50275.180140000004</v>
      </c>
      <c r="E473" s="233">
        <f t="shared" si="252"/>
        <v>75255.677810000008</v>
      </c>
      <c r="F473" s="233">
        <f t="shared" si="252"/>
        <v>75255.677810000008</v>
      </c>
      <c r="G473" s="658">
        <f t="shared" si="249"/>
        <v>100</v>
      </c>
      <c r="H473" s="233">
        <f t="shared" si="250"/>
        <v>0</v>
      </c>
    </row>
    <row r="474" spans="1:8" s="1" customFormat="1" ht="14.4" x14ac:dyDescent="0.3">
      <c r="A474" s="7"/>
      <c r="B474" s="7"/>
      <c r="C474" s="6" t="s">
        <v>109</v>
      </c>
      <c r="D474" s="233">
        <v>47403.956680000003</v>
      </c>
      <c r="E474" s="233">
        <v>71884.223440000002</v>
      </c>
      <c r="F474" s="233">
        <v>71884.223440000002</v>
      </c>
      <c r="G474" s="658">
        <f t="shared" si="249"/>
        <v>100</v>
      </c>
      <c r="H474" s="233">
        <f t="shared" si="250"/>
        <v>0</v>
      </c>
    </row>
    <row r="475" spans="1:8" s="1" customFormat="1" ht="14.4" x14ac:dyDescent="0.3">
      <c r="A475" s="7"/>
      <c r="B475" s="7"/>
      <c r="C475" s="6" t="s">
        <v>108</v>
      </c>
      <c r="D475" s="233">
        <v>2494.9450700000002</v>
      </c>
      <c r="E475" s="233">
        <v>2995.17598</v>
      </c>
      <c r="F475" s="233">
        <v>2995.17598</v>
      </c>
      <c r="G475" s="658">
        <f t="shared" si="249"/>
        <v>100</v>
      </c>
      <c r="H475" s="233">
        <f t="shared" si="250"/>
        <v>0</v>
      </c>
    </row>
    <row r="476" spans="1:8" s="1" customFormat="1" ht="14.4" x14ac:dyDescent="0.3">
      <c r="A476" s="7"/>
      <c r="B476" s="7"/>
      <c r="C476" s="6" t="s">
        <v>106</v>
      </c>
      <c r="D476" s="233">
        <v>376.27839000000006</v>
      </c>
      <c r="E476" s="233">
        <v>376.27839000000006</v>
      </c>
      <c r="F476" s="233">
        <v>376.27839000000006</v>
      </c>
      <c r="G476" s="658">
        <f t="shared" si="249"/>
        <v>100</v>
      </c>
      <c r="H476" s="233">
        <f t="shared" si="250"/>
        <v>0</v>
      </c>
    </row>
    <row r="477" spans="1:8" s="1" customFormat="1" ht="40.200000000000003" x14ac:dyDescent="0.3">
      <c r="A477" s="31" t="s">
        <v>423</v>
      </c>
      <c r="B477" s="31"/>
      <c r="C477" s="52" t="s">
        <v>422</v>
      </c>
      <c r="D477" s="231">
        <f t="shared" ref="D477:F479" si="253">D478</f>
        <v>5239.5630000000001</v>
      </c>
      <c r="E477" s="231">
        <f t="shared" si="253"/>
        <v>5239.5630000000001</v>
      </c>
      <c r="F477" s="231">
        <f t="shared" si="253"/>
        <v>5232.0810000000001</v>
      </c>
      <c r="G477" s="656">
        <f t="shared" si="249"/>
        <v>99.857201831526794</v>
      </c>
      <c r="H477" s="231">
        <f t="shared" si="250"/>
        <v>7.4819999999999709</v>
      </c>
    </row>
    <row r="478" spans="1:8" s="1" customFormat="1" ht="53.4" x14ac:dyDescent="0.3">
      <c r="A478" s="190" t="s">
        <v>421</v>
      </c>
      <c r="B478" s="190"/>
      <c r="C478" s="191" t="s">
        <v>420</v>
      </c>
      <c r="D478" s="232">
        <f t="shared" si="253"/>
        <v>5239.5630000000001</v>
      </c>
      <c r="E478" s="232">
        <f t="shared" si="253"/>
        <v>5239.5630000000001</v>
      </c>
      <c r="F478" s="232">
        <f t="shared" si="253"/>
        <v>5232.0810000000001</v>
      </c>
      <c r="G478" s="657">
        <f t="shared" si="249"/>
        <v>99.857201831526794</v>
      </c>
      <c r="H478" s="232">
        <f t="shared" si="250"/>
        <v>7.4819999999999709</v>
      </c>
    </row>
    <row r="479" spans="1:8" s="1" customFormat="1" ht="53.4" x14ac:dyDescent="0.3">
      <c r="A479" s="7" t="s">
        <v>419</v>
      </c>
      <c r="B479" s="61"/>
      <c r="C479" s="6" t="s">
        <v>606</v>
      </c>
      <c r="D479" s="233">
        <f t="shared" si="253"/>
        <v>5239.5630000000001</v>
      </c>
      <c r="E479" s="233">
        <f t="shared" si="253"/>
        <v>5239.5630000000001</v>
      </c>
      <c r="F479" s="233">
        <f t="shared" si="253"/>
        <v>5232.0810000000001</v>
      </c>
      <c r="G479" s="658">
        <f t="shared" si="249"/>
        <v>99.857201831526794</v>
      </c>
      <c r="H479" s="233">
        <f t="shared" si="250"/>
        <v>7.4819999999999709</v>
      </c>
    </row>
    <row r="480" spans="1:8" s="1" customFormat="1" ht="27" x14ac:dyDescent="0.3">
      <c r="A480" s="7"/>
      <c r="B480" s="7" t="s">
        <v>12</v>
      </c>
      <c r="C480" s="6" t="s">
        <v>11</v>
      </c>
      <c r="D480" s="233">
        <v>5239.5630000000001</v>
      </c>
      <c r="E480" s="233">
        <v>5239.5630000000001</v>
      </c>
      <c r="F480" s="233">
        <v>5232.0810000000001</v>
      </c>
      <c r="G480" s="658">
        <f t="shared" si="249"/>
        <v>99.857201831526794</v>
      </c>
      <c r="H480" s="233">
        <f t="shared" si="250"/>
        <v>7.4819999999999709</v>
      </c>
    </row>
    <row r="481" spans="1:8" s="1" customFormat="1" ht="53.4" x14ac:dyDescent="0.3">
      <c r="A481" s="31" t="s">
        <v>399</v>
      </c>
      <c r="B481" s="31"/>
      <c r="C481" s="52" t="s">
        <v>398</v>
      </c>
      <c r="D481" s="231">
        <f t="shared" ref="D481:F481" si="254">D482+D485</f>
        <v>999.87225000000012</v>
      </c>
      <c r="E481" s="231">
        <f t="shared" si="254"/>
        <v>999.87225000000012</v>
      </c>
      <c r="F481" s="231">
        <f t="shared" si="254"/>
        <v>974.17225000000008</v>
      </c>
      <c r="G481" s="656">
        <f t="shared" si="249"/>
        <v>97.429671640552073</v>
      </c>
      <c r="H481" s="231">
        <f t="shared" si="250"/>
        <v>25.700000000000045</v>
      </c>
    </row>
    <row r="482" spans="1:8" s="1" customFormat="1" ht="42" customHeight="1" x14ac:dyDescent="0.3">
      <c r="A482" s="190" t="s">
        <v>397</v>
      </c>
      <c r="B482" s="190"/>
      <c r="C482" s="203" t="s">
        <v>396</v>
      </c>
      <c r="D482" s="232">
        <f t="shared" ref="D482:F483" si="255">D483</f>
        <v>967.17225000000008</v>
      </c>
      <c r="E482" s="232">
        <f t="shared" si="255"/>
        <v>967.17225000000008</v>
      </c>
      <c r="F482" s="232">
        <f t="shared" si="255"/>
        <v>967.17225000000008</v>
      </c>
      <c r="G482" s="657">
        <f t="shared" si="249"/>
        <v>100</v>
      </c>
      <c r="H482" s="232">
        <f t="shared" si="250"/>
        <v>0</v>
      </c>
    </row>
    <row r="483" spans="1:8" s="1" customFormat="1" ht="40.200000000000003" x14ac:dyDescent="0.3">
      <c r="A483" s="7" t="s">
        <v>766</v>
      </c>
      <c r="B483" s="7"/>
      <c r="C483" s="104" t="s">
        <v>395</v>
      </c>
      <c r="D483" s="233">
        <f t="shared" si="255"/>
        <v>967.17225000000008</v>
      </c>
      <c r="E483" s="233">
        <f t="shared" si="255"/>
        <v>967.17225000000008</v>
      </c>
      <c r="F483" s="233">
        <f t="shared" si="255"/>
        <v>967.17225000000008</v>
      </c>
      <c r="G483" s="658">
        <f t="shared" si="249"/>
        <v>100</v>
      </c>
      <c r="H483" s="233">
        <f t="shared" si="250"/>
        <v>0</v>
      </c>
    </row>
    <row r="484" spans="1:8" s="1" customFormat="1" ht="27" x14ac:dyDescent="0.3">
      <c r="A484" s="7"/>
      <c r="B484" s="7" t="s">
        <v>12</v>
      </c>
      <c r="C484" s="6" t="s">
        <v>11</v>
      </c>
      <c r="D484" s="233">
        <v>967.17225000000008</v>
      </c>
      <c r="E484" s="233">
        <v>967.17225000000008</v>
      </c>
      <c r="F484" s="233">
        <v>967.17225000000008</v>
      </c>
      <c r="G484" s="658">
        <f t="shared" si="249"/>
        <v>100</v>
      </c>
      <c r="H484" s="233">
        <f t="shared" si="250"/>
        <v>0</v>
      </c>
    </row>
    <row r="485" spans="1:8" s="1" customFormat="1" ht="40.200000000000003" x14ac:dyDescent="0.3">
      <c r="A485" s="190" t="s">
        <v>795</v>
      </c>
      <c r="B485" s="190"/>
      <c r="C485" s="203" t="s">
        <v>796</v>
      </c>
      <c r="D485" s="232">
        <f t="shared" ref="D485:F486" si="256">D486</f>
        <v>32.700000000000003</v>
      </c>
      <c r="E485" s="232">
        <f t="shared" si="256"/>
        <v>32.700000000000003</v>
      </c>
      <c r="F485" s="232">
        <f t="shared" si="256"/>
        <v>7</v>
      </c>
      <c r="G485" s="657">
        <f t="shared" si="249"/>
        <v>21.406727828746174</v>
      </c>
      <c r="H485" s="232">
        <f t="shared" si="250"/>
        <v>25.700000000000003</v>
      </c>
    </row>
    <row r="486" spans="1:8" s="1" customFormat="1" ht="40.200000000000003" x14ac:dyDescent="0.3">
      <c r="A486" s="278" t="s">
        <v>846</v>
      </c>
      <c r="B486" s="278"/>
      <c r="C486" s="287" t="s">
        <v>797</v>
      </c>
      <c r="D486" s="280">
        <f t="shared" si="256"/>
        <v>32.700000000000003</v>
      </c>
      <c r="E486" s="280">
        <f t="shared" si="256"/>
        <v>32.700000000000003</v>
      </c>
      <c r="F486" s="280">
        <f t="shared" si="256"/>
        <v>7</v>
      </c>
      <c r="G486" s="665">
        <f t="shared" si="249"/>
        <v>21.406727828746174</v>
      </c>
      <c r="H486" s="280">
        <f t="shared" si="250"/>
        <v>25.700000000000003</v>
      </c>
    </row>
    <row r="487" spans="1:8" s="1" customFormat="1" ht="27" x14ac:dyDescent="0.3">
      <c r="A487" s="278"/>
      <c r="B487" s="7" t="s">
        <v>12</v>
      </c>
      <c r="C487" s="6" t="s">
        <v>11</v>
      </c>
      <c r="D487" s="280">
        <v>32.700000000000003</v>
      </c>
      <c r="E487" s="280">
        <v>32.700000000000003</v>
      </c>
      <c r="F487" s="280">
        <v>7</v>
      </c>
      <c r="G487" s="665">
        <f t="shared" si="249"/>
        <v>21.406727828746174</v>
      </c>
      <c r="H487" s="280">
        <f t="shared" si="250"/>
        <v>25.700000000000003</v>
      </c>
    </row>
    <row r="488" spans="1:8" s="1" customFormat="1" ht="53.4" x14ac:dyDescent="0.3">
      <c r="A488" s="206" t="s">
        <v>303</v>
      </c>
      <c r="B488" s="206"/>
      <c r="C488" s="209" t="s">
        <v>302</v>
      </c>
      <c r="D488" s="230">
        <f t="shared" ref="D488:F488" si="257">D489+D495</f>
        <v>8730.6788299999989</v>
      </c>
      <c r="E488" s="230">
        <f t="shared" si="257"/>
        <v>8730.6788299999989</v>
      </c>
      <c r="F488" s="230">
        <f t="shared" si="257"/>
        <v>8730.6788299999989</v>
      </c>
      <c r="G488" s="655">
        <f t="shared" si="249"/>
        <v>100</v>
      </c>
      <c r="H488" s="230">
        <f t="shared" si="250"/>
        <v>0</v>
      </c>
    </row>
    <row r="489" spans="1:8" s="1" customFormat="1" ht="40.200000000000003" x14ac:dyDescent="0.3">
      <c r="A489" s="285" t="s">
        <v>800</v>
      </c>
      <c r="B489" s="197"/>
      <c r="C489" s="289" t="s">
        <v>802</v>
      </c>
      <c r="D489" s="232">
        <f t="shared" ref="D489:F490" si="258">D490</f>
        <v>6415.7461299999995</v>
      </c>
      <c r="E489" s="232">
        <f t="shared" si="258"/>
        <v>6415.7461299999995</v>
      </c>
      <c r="F489" s="232">
        <f t="shared" si="258"/>
        <v>6415.7461299999995</v>
      </c>
      <c r="G489" s="657">
        <f t="shared" si="249"/>
        <v>100</v>
      </c>
      <c r="H489" s="232">
        <f t="shared" si="250"/>
        <v>0</v>
      </c>
    </row>
    <row r="490" spans="1:8" s="1" customFormat="1" ht="40.200000000000003" x14ac:dyDescent="0.3">
      <c r="A490" s="288" t="s">
        <v>801</v>
      </c>
      <c r="B490" s="55"/>
      <c r="C490" s="12" t="s">
        <v>747</v>
      </c>
      <c r="D490" s="233">
        <f t="shared" si="258"/>
        <v>6415.7461299999995</v>
      </c>
      <c r="E490" s="233">
        <f t="shared" si="258"/>
        <v>6415.7461299999995</v>
      </c>
      <c r="F490" s="233">
        <f t="shared" si="258"/>
        <v>6415.7461299999995</v>
      </c>
      <c r="G490" s="658">
        <f t="shared" si="249"/>
        <v>100</v>
      </c>
      <c r="H490" s="233">
        <f t="shared" si="250"/>
        <v>0</v>
      </c>
    </row>
    <row r="491" spans="1:8" s="1" customFormat="1" ht="27" x14ac:dyDescent="0.3">
      <c r="A491" s="98"/>
      <c r="B491" s="7" t="s">
        <v>12</v>
      </c>
      <c r="C491" s="6" t="s">
        <v>11</v>
      </c>
      <c r="D491" s="233">
        <f>D492+D493+D494</f>
        <v>6415.7461299999995</v>
      </c>
      <c r="E491" s="233">
        <f t="shared" ref="E491:F491" si="259">E492+E493+E494</f>
        <v>6415.7461299999995</v>
      </c>
      <c r="F491" s="233">
        <f t="shared" si="259"/>
        <v>6415.7461299999995</v>
      </c>
      <c r="G491" s="658">
        <f t="shared" si="249"/>
        <v>100</v>
      </c>
      <c r="H491" s="233">
        <f t="shared" si="250"/>
        <v>0</v>
      </c>
    </row>
    <row r="492" spans="1:8" s="1" customFormat="1" ht="14.4" x14ac:dyDescent="0.3">
      <c r="A492" s="98"/>
      <c r="B492" s="7"/>
      <c r="C492" s="6" t="s">
        <v>109</v>
      </c>
      <c r="D492" s="233">
        <v>5543.2046600000003</v>
      </c>
      <c r="E492" s="233">
        <v>5543.2046600000003</v>
      </c>
      <c r="F492" s="233">
        <v>5543.2046600000003</v>
      </c>
      <c r="G492" s="658">
        <f t="shared" si="249"/>
        <v>100</v>
      </c>
      <c r="H492" s="233">
        <f t="shared" si="250"/>
        <v>0</v>
      </c>
    </row>
    <row r="493" spans="1:8" s="1" customFormat="1" ht="14.4" x14ac:dyDescent="0.3">
      <c r="A493" s="98"/>
      <c r="B493" s="7"/>
      <c r="C493" s="6" t="s">
        <v>108</v>
      </c>
      <c r="D493" s="233">
        <v>230.96686</v>
      </c>
      <c r="E493" s="233">
        <v>230.96686</v>
      </c>
      <c r="F493" s="233">
        <v>230.96686</v>
      </c>
      <c r="G493" s="658">
        <f t="shared" si="249"/>
        <v>100</v>
      </c>
      <c r="H493" s="233">
        <f t="shared" si="250"/>
        <v>0</v>
      </c>
    </row>
    <row r="494" spans="1:8" s="1" customFormat="1" ht="14.4" x14ac:dyDescent="0.3">
      <c r="A494" s="98"/>
      <c r="B494" s="7"/>
      <c r="C494" s="6" t="s">
        <v>106</v>
      </c>
      <c r="D494" s="233">
        <v>641.57461000000001</v>
      </c>
      <c r="E494" s="233">
        <v>641.57461000000001</v>
      </c>
      <c r="F494" s="233">
        <v>641.57461000000001</v>
      </c>
      <c r="G494" s="658">
        <f t="shared" si="249"/>
        <v>100</v>
      </c>
      <c r="H494" s="233">
        <f t="shared" si="250"/>
        <v>0</v>
      </c>
    </row>
    <row r="495" spans="1:8" s="1" customFormat="1" ht="40.200000000000003" x14ac:dyDescent="0.3">
      <c r="A495" s="190" t="s">
        <v>301</v>
      </c>
      <c r="B495" s="197"/>
      <c r="C495" s="191" t="s">
        <v>300</v>
      </c>
      <c r="D495" s="232">
        <f t="shared" ref="D495:F496" si="260">D496</f>
        <v>2314.9326999999998</v>
      </c>
      <c r="E495" s="232">
        <f t="shared" si="260"/>
        <v>2314.9326999999998</v>
      </c>
      <c r="F495" s="232">
        <f t="shared" si="260"/>
        <v>2314.9326999999998</v>
      </c>
      <c r="G495" s="657">
        <f t="shared" si="249"/>
        <v>100</v>
      </c>
      <c r="H495" s="232">
        <f t="shared" si="250"/>
        <v>0</v>
      </c>
    </row>
    <row r="496" spans="1:8" s="1" customFormat="1" ht="53.4" x14ac:dyDescent="0.3">
      <c r="A496" s="98" t="s">
        <v>299</v>
      </c>
      <c r="B496" s="55"/>
      <c r="C496" s="6" t="s">
        <v>688</v>
      </c>
      <c r="D496" s="233">
        <f t="shared" si="260"/>
        <v>2314.9326999999998</v>
      </c>
      <c r="E496" s="233">
        <f t="shared" si="260"/>
        <v>2314.9326999999998</v>
      </c>
      <c r="F496" s="233">
        <f t="shared" si="260"/>
        <v>2314.9326999999998</v>
      </c>
      <c r="G496" s="658">
        <f t="shared" si="249"/>
        <v>100</v>
      </c>
      <c r="H496" s="233">
        <f t="shared" si="250"/>
        <v>0</v>
      </c>
    </row>
    <row r="497" spans="1:8" s="1" customFormat="1" ht="27" x14ac:dyDescent="0.3">
      <c r="A497" s="98"/>
      <c r="B497" s="7" t="s">
        <v>12</v>
      </c>
      <c r="C497" s="6" t="s">
        <v>11</v>
      </c>
      <c r="D497" s="233">
        <f>D498+D499</f>
        <v>2314.9326999999998</v>
      </c>
      <c r="E497" s="233">
        <f t="shared" ref="E497:F497" si="261">E498+E499</f>
        <v>2314.9326999999998</v>
      </c>
      <c r="F497" s="233">
        <f t="shared" si="261"/>
        <v>2314.9326999999998</v>
      </c>
      <c r="G497" s="658">
        <f t="shared" si="249"/>
        <v>100</v>
      </c>
      <c r="H497" s="233">
        <f t="shared" si="250"/>
        <v>0</v>
      </c>
    </row>
    <row r="498" spans="1:8" s="1" customFormat="1" ht="14.4" x14ac:dyDescent="0.3">
      <c r="A498" s="98"/>
      <c r="B498" s="7"/>
      <c r="C498" s="6" t="s">
        <v>108</v>
      </c>
      <c r="D498" s="233">
        <v>2083.4394299999999</v>
      </c>
      <c r="E498" s="233">
        <v>2083.4394299999999</v>
      </c>
      <c r="F498" s="233">
        <v>2083.4394299999999</v>
      </c>
      <c r="G498" s="658">
        <f t="shared" si="249"/>
        <v>100</v>
      </c>
      <c r="H498" s="233">
        <f t="shared" si="250"/>
        <v>0</v>
      </c>
    </row>
    <row r="499" spans="1:8" s="1" customFormat="1" ht="14.4" x14ac:dyDescent="0.3">
      <c r="A499" s="98"/>
      <c r="B499" s="7"/>
      <c r="C499" s="6" t="s">
        <v>106</v>
      </c>
      <c r="D499" s="233">
        <v>231.49327</v>
      </c>
      <c r="E499" s="233">
        <v>231.49327</v>
      </c>
      <c r="F499" s="233">
        <v>231.49327</v>
      </c>
      <c r="G499" s="658">
        <f t="shared" si="249"/>
        <v>100</v>
      </c>
      <c r="H499" s="233">
        <f t="shared" si="250"/>
        <v>0</v>
      </c>
    </row>
    <row r="500" spans="1:8" s="1" customFormat="1" ht="66.599999999999994" x14ac:dyDescent="0.3">
      <c r="A500" s="206" t="s">
        <v>454</v>
      </c>
      <c r="B500" s="206"/>
      <c r="C500" s="209" t="s">
        <v>453</v>
      </c>
      <c r="D500" s="230">
        <f t="shared" ref="D500:F500" si="262">D501+D512+D522</f>
        <v>27249</v>
      </c>
      <c r="E500" s="230">
        <f t="shared" si="262"/>
        <v>27249</v>
      </c>
      <c r="F500" s="230">
        <f t="shared" si="262"/>
        <v>27243.925380000001</v>
      </c>
      <c r="G500" s="655">
        <f t="shared" si="249"/>
        <v>99.981376857866337</v>
      </c>
      <c r="H500" s="230">
        <f t="shared" si="250"/>
        <v>5.0746199999994133</v>
      </c>
    </row>
    <row r="501" spans="1:8" s="1" customFormat="1" ht="53.4" x14ac:dyDescent="0.3">
      <c r="A501" s="190" t="s">
        <v>489</v>
      </c>
      <c r="B501" s="190"/>
      <c r="C501" s="201" t="s">
        <v>488</v>
      </c>
      <c r="D501" s="232">
        <f t="shared" ref="D501:F501" si="263">D502+D504+D506+D508</f>
        <v>22997.392199999998</v>
      </c>
      <c r="E501" s="232">
        <f t="shared" si="263"/>
        <v>22997.392200000002</v>
      </c>
      <c r="F501" s="232">
        <f t="shared" si="263"/>
        <v>22997.392200000002</v>
      </c>
      <c r="G501" s="657">
        <f t="shared" si="249"/>
        <v>100</v>
      </c>
      <c r="H501" s="232">
        <f t="shared" si="250"/>
        <v>0</v>
      </c>
    </row>
    <row r="502" spans="1:8" s="1" customFormat="1" ht="14.4" x14ac:dyDescent="0.3">
      <c r="A502" s="7" t="s">
        <v>487</v>
      </c>
      <c r="B502" s="7"/>
      <c r="C502" s="6" t="s">
        <v>486</v>
      </c>
      <c r="D502" s="233">
        <f>D503</f>
        <v>36.799999999999997</v>
      </c>
      <c r="E502" s="233">
        <f t="shared" ref="E502:F502" si="264">E503</f>
        <v>38.6</v>
      </c>
      <c r="F502" s="233">
        <f t="shared" si="264"/>
        <v>38.6</v>
      </c>
      <c r="G502" s="658">
        <f t="shared" si="249"/>
        <v>100</v>
      </c>
      <c r="H502" s="233">
        <f t="shared" si="250"/>
        <v>0</v>
      </c>
    </row>
    <row r="503" spans="1:8" s="1" customFormat="1" ht="27" x14ac:dyDescent="0.3">
      <c r="A503" s="7"/>
      <c r="B503" s="7" t="s">
        <v>12</v>
      </c>
      <c r="C503" s="6" t="s">
        <v>11</v>
      </c>
      <c r="D503" s="233">
        <v>36.799999999999997</v>
      </c>
      <c r="E503" s="233">
        <v>38.6</v>
      </c>
      <c r="F503" s="233">
        <v>38.6</v>
      </c>
      <c r="G503" s="658">
        <f t="shared" si="249"/>
        <v>100</v>
      </c>
      <c r="H503" s="233">
        <f t="shared" si="250"/>
        <v>0</v>
      </c>
    </row>
    <row r="504" spans="1:8" s="1" customFormat="1" ht="53.4" x14ac:dyDescent="0.3">
      <c r="A504" s="7" t="s">
        <v>485</v>
      </c>
      <c r="B504" s="7"/>
      <c r="C504" s="6" t="s">
        <v>564</v>
      </c>
      <c r="D504" s="233">
        <f>D505</f>
        <v>148.09220000000008</v>
      </c>
      <c r="E504" s="233">
        <f t="shared" ref="E504:F504" si="265">E505</f>
        <v>107.4</v>
      </c>
      <c r="F504" s="233">
        <f t="shared" si="265"/>
        <v>107.4</v>
      </c>
      <c r="G504" s="658">
        <f t="shared" si="249"/>
        <v>100</v>
      </c>
      <c r="H504" s="233">
        <f t="shared" si="250"/>
        <v>0</v>
      </c>
    </row>
    <row r="505" spans="1:8" s="1" customFormat="1" ht="27" x14ac:dyDescent="0.3">
      <c r="A505" s="7"/>
      <c r="B505" s="7" t="s">
        <v>12</v>
      </c>
      <c r="C505" s="6" t="s">
        <v>11</v>
      </c>
      <c r="D505" s="233">
        <v>148.09220000000008</v>
      </c>
      <c r="E505" s="233">
        <v>107.4</v>
      </c>
      <c r="F505" s="233">
        <v>107.4</v>
      </c>
      <c r="G505" s="658">
        <f t="shared" si="249"/>
        <v>100</v>
      </c>
      <c r="H505" s="233">
        <f t="shared" si="250"/>
        <v>0</v>
      </c>
    </row>
    <row r="506" spans="1:8" s="1" customFormat="1" ht="40.200000000000003" x14ac:dyDescent="0.3">
      <c r="A506" s="7" t="s">
        <v>565</v>
      </c>
      <c r="B506" s="7"/>
      <c r="C506" s="6" t="s">
        <v>566</v>
      </c>
      <c r="D506" s="233">
        <f>D507</f>
        <v>618.9</v>
      </c>
      <c r="E506" s="233">
        <f t="shared" ref="E506:F506" si="266">E507</f>
        <v>657.79219999999998</v>
      </c>
      <c r="F506" s="233">
        <f t="shared" si="266"/>
        <v>657.79219999999998</v>
      </c>
      <c r="G506" s="658">
        <f t="shared" si="249"/>
        <v>100</v>
      </c>
      <c r="H506" s="233">
        <f t="shared" si="250"/>
        <v>0</v>
      </c>
    </row>
    <row r="507" spans="1:8" ht="26.4" x14ac:dyDescent="0.25">
      <c r="A507" s="7"/>
      <c r="B507" s="7" t="s">
        <v>12</v>
      </c>
      <c r="C507" s="6" t="s">
        <v>11</v>
      </c>
      <c r="D507" s="233">
        <v>618.9</v>
      </c>
      <c r="E507" s="233">
        <v>657.79219999999998</v>
      </c>
      <c r="F507" s="233">
        <v>657.79219999999998</v>
      </c>
      <c r="G507" s="658">
        <f t="shared" si="249"/>
        <v>100</v>
      </c>
      <c r="H507" s="233">
        <f t="shared" si="250"/>
        <v>0</v>
      </c>
    </row>
    <row r="508" spans="1:8" ht="26.4" x14ac:dyDescent="0.25">
      <c r="A508" s="7" t="s">
        <v>484</v>
      </c>
      <c r="B508" s="7"/>
      <c r="C508" s="113" t="s">
        <v>483</v>
      </c>
      <c r="D508" s="233">
        <f t="shared" ref="D508" si="267">D509+D510</f>
        <v>22193.599999999999</v>
      </c>
      <c r="E508" s="233">
        <f>E509+E510+E511</f>
        <v>22193.600000000002</v>
      </c>
      <c r="F508" s="233">
        <f>F509+F510+F511</f>
        <v>22193.600000000002</v>
      </c>
      <c r="G508" s="658">
        <f t="shared" si="249"/>
        <v>100</v>
      </c>
      <c r="H508" s="233">
        <f t="shared" si="250"/>
        <v>0</v>
      </c>
    </row>
    <row r="509" spans="1:8" ht="66" x14ac:dyDescent="0.25">
      <c r="A509" s="7"/>
      <c r="B509" s="7" t="s">
        <v>2</v>
      </c>
      <c r="C509" s="6" t="s">
        <v>1</v>
      </c>
      <c r="D509" s="233">
        <v>20003.599999999999</v>
      </c>
      <c r="E509" s="233">
        <v>20066.587930000002</v>
      </c>
      <c r="F509" s="233">
        <v>20066.587930000002</v>
      </c>
      <c r="G509" s="658">
        <f t="shared" si="249"/>
        <v>100</v>
      </c>
      <c r="H509" s="233">
        <f t="shared" si="250"/>
        <v>0</v>
      </c>
    </row>
    <row r="510" spans="1:8" ht="26.4" x14ac:dyDescent="0.25">
      <c r="A510" s="7"/>
      <c r="B510" s="7" t="s">
        <v>12</v>
      </c>
      <c r="C510" s="6" t="s">
        <v>11</v>
      </c>
      <c r="D510" s="233">
        <v>2190</v>
      </c>
      <c r="E510" s="233">
        <v>2125.0120700000002</v>
      </c>
      <c r="F510" s="233">
        <v>2125.0120700000002</v>
      </c>
      <c r="G510" s="658">
        <f t="shared" si="249"/>
        <v>100</v>
      </c>
      <c r="H510" s="233">
        <f t="shared" si="250"/>
        <v>0</v>
      </c>
    </row>
    <row r="511" spans="1:8" x14ac:dyDescent="0.25">
      <c r="A511" s="342"/>
      <c r="B511" s="342" t="s">
        <v>22</v>
      </c>
      <c r="C511" s="391" t="s">
        <v>21</v>
      </c>
      <c r="D511" s="676"/>
      <c r="E511" s="676">
        <v>2</v>
      </c>
      <c r="F511" s="676">
        <v>2</v>
      </c>
      <c r="G511" s="677">
        <f t="shared" si="249"/>
        <v>100</v>
      </c>
      <c r="H511" s="676">
        <f t="shared" si="250"/>
        <v>0</v>
      </c>
    </row>
    <row r="512" spans="1:8" ht="39.6" x14ac:dyDescent="0.25">
      <c r="A512" s="190" t="s">
        <v>480</v>
      </c>
      <c r="B512" s="190"/>
      <c r="C512" s="201" t="s">
        <v>479</v>
      </c>
      <c r="D512" s="232">
        <f>D513+D515+D519</f>
        <v>4041.8577999999998</v>
      </c>
      <c r="E512" s="232">
        <f t="shared" ref="E512:F512" si="268">E513+E515+E519</f>
        <v>4041.8577999999998</v>
      </c>
      <c r="F512" s="232">
        <f t="shared" si="268"/>
        <v>4036.7831800000004</v>
      </c>
      <c r="G512" s="657">
        <f t="shared" si="249"/>
        <v>99.874448329181703</v>
      </c>
      <c r="H512" s="232">
        <f t="shared" si="250"/>
        <v>5.0746199999994133</v>
      </c>
    </row>
    <row r="513" spans="1:8" ht="26.4" x14ac:dyDescent="0.25">
      <c r="A513" s="7" t="s">
        <v>478</v>
      </c>
      <c r="B513" s="7"/>
      <c r="C513" s="101" t="s">
        <v>477</v>
      </c>
      <c r="D513" s="233">
        <f>D514</f>
        <v>115.2437200000001</v>
      </c>
      <c r="E513" s="233">
        <f t="shared" ref="E513:F513" si="269">E514</f>
        <v>115.2437200000001</v>
      </c>
      <c r="F513" s="233">
        <f t="shared" si="269"/>
        <v>115.2437200000001</v>
      </c>
      <c r="G513" s="658">
        <f t="shared" si="249"/>
        <v>100</v>
      </c>
      <c r="H513" s="233">
        <f t="shared" si="250"/>
        <v>0</v>
      </c>
    </row>
    <row r="514" spans="1:8" ht="26.4" x14ac:dyDescent="0.25">
      <c r="A514" s="7"/>
      <c r="B514" s="7" t="s">
        <v>12</v>
      </c>
      <c r="C514" s="6" t="s">
        <v>11</v>
      </c>
      <c r="D514" s="233">
        <v>115.2437200000001</v>
      </c>
      <c r="E514" s="233">
        <v>115.2437200000001</v>
      </c>
      <c r="F514" s="233">
        <v>115.2437200000001</v>
      </c>
      <c r="G514" s="658">
        <f t="shared" si="249"/>
        <v>100</v>
      </c>
      <c r="H514" s="233">
        <f t="shared" si="250"/>
        <v>0</v>
      </c>
    </row>
    <row r="515" spans="1:8" ht="26.4" x14ac:dyDescent="0.25">
      <c r="A515" s="7" t="s">
        <v>476</v>
      </c>
      <c r="B515" s="7"/>
      <c r="C515" s="12" t="s">
        <v>475</v>
      </c>
      <c r="D515" s="233">
        <f>D516+D517</f>
        <v>3427.91408</v>
      </c>
      <c r="E515" s="233">
        <f>E516+E517+E518</f>
        <v>3427.91408</v>
      </c>
      <c r="F515" s="233">
        <f>F516+F517+F518</f>
        <v>3422.8444600000003</v>
      </c>
      <c r="G515" s="658">
        <f t="shared" si="249"/>
        <v>99.852107728441084</v>
      </c>
      <c r="H515" s="233">
        <f t="shared" si="250"/>
        <v>5.0696199999997589</v>
      </c>
    </row>
    <row r="516" spans="1:8" ht="26.4" x14ac:dyDescent="0.25">
      <c r="A516" s="7"/>
      <c r="B516" s="7" t="s">
        <v>12</v>
      </c>
      <c r="C516" s="6" t="s">
        <v>11</v>
      </c>
      <c r="D516" s="239">
        <v>3296.0140799999999</v>
      </c>
      <c r="E516" s="239">
        <v>2695.9446899999998</v>
      </c>
      <c r="F516" s="239">
        <v>2695.9444600000002</v>
      </c>
      <c r="G516" s="670">
        <f t="shared" si="249"/>
        <v>99.999991468667716</v>
      </c>
      <c r="H516" s="239">
        <f t="shared" si="250"/>
        <v>2.299999996466795E-4</v>
      </c>
    </row>
    <row r="517" spans="1:8" ht="26.4" x14ac:dyDescent="0.25">
      <c r="A517" s="7"/>
      <c r="B517" s="7" t="s">
        <v>57</v>
      </c>
      <c r="C517" s="6" t="s">
        <v>56</v>
      </c>
      <c r="D517" s="239">
        <f>107.6+24.3</f>
        <v>131.9</v>
      </c>
      <c r="E517" s="239">
        <f t="shared" ref="E517:F517" si="270">107.6+24.3</f>
        <v>131.9</v>
      </c>
      <c r="F517" s="239">
        <f t="shared" si="270"/>
        <v>131.9</v>
      </c>
      <c r="G517" s="670">
        <f t="shared" si="249"/>
        <v>100</v>
      </c>
      <c r="H517" s="239">
        <f t="shared" si="250"/>
        <v>0</v>
      </c>
    </row>
    <row r="518" spans="1:8" x14ac:dyDescent="0.25">
      <c r="A518" s="342"/>
      <c r="B518" s="342" t="s">
        <v>22</v>
      </c>
      <c r="C518" s="391" t="s">
        <v>21</v>
      </c>
      <c r="D518" s="680"/>
      <c r="E518" s="680">
        <v>600.06939</v>
      </c>
      <c r="F518" s="680">
        <v>595</v>
      </c>
      <c r="G518" s="681"/>
      <c r="H518" s="680"/>
    </row>
    <row r="519" spans="1:8" ht="39.6" x14ac:dyDescent="0.25">
      <c r="A519" s="7" t="s">
        <v>474</v>
      </c>
      <c r="B519" s="7"/>
      <c r="C519" s="115" t="s">
        <v>607</v>
      </c>
      <c r="D519" s="233">
        <f>D520</f>
        <v>498.7</v>
      </c>
      <c r="E519" s="233">
        <f>E520+E521</f>
        <v>498.70000000000005</v>
      </c>
      <c r="F519" s="233">
        <f>F520+F521</f>
        <v>498.69500000000005</v>
      </c>
      <c r="G519" s="658">
        <f t="shared" si="249"/>
        <v>99.998997393222382</v>
      </c>
      <c r="H519" s="233">
        <f t="shared" si="250"/>
        <v>4.9999999999954525E-3</v>
      </c>
    </row>
    <row r="520" spans="1:8" ht="26.4" x14ac:dyDescent="0.25">
      <c r="A520" s="7"/>
      <c r="B520" s="7" t="s">
        <v>2</v>
      </c>
      <c r="C520" s="6" t="s">
        <v>11</v>
      </c>
      <c r="D520" s="233">
        <v>498.7</v>
      </c>
      <c r="E520" s="233">
        <v>486.1</v>
      </c>
      <c r="F520" s="233">
        <v>486.09500000000003</v>
      </c>
      <c r="G520" s="658">
        <f t="shared" si="249"/>
        <v>99.998971405060686</v>
      </c>
      <c r="H520" s="233">
        <f t="shared" si="250"/>
        <v>4.9999999999954525E-3</v>
      </c>
    </row>
    <row r="521" spans="1:8" ht="26.4" x14ac:dyDescent="0.25">
      <c r="A521" s="342"/>
      <c r="B521" s="7" t="s">
        <v>12</v>
      </c>
      <c r="C521" s="6" t="s">
        <v>11</v>
      </c>
      <c r="D521" s="676"/>
      <c r="E521" s="676">
        <v>12.6</v>
      </c>
      <c r="F521" s="676">
        <v>12.6</v>
      </c>
      <c r="G521" s="677"/>
      <c r="H521" s="676"/>
    </row>
    <row r="522" spans="1:8" ht="26.4" x14ac:dyDescent="0.25">
      <c r="A522" s="190" t="s">
        <v>452</v>
      </c>
      <c r="B522" s="190"/>
      <c r="C522" s="201" t="s">
        <v>608</v>
      </c>
      <c r="D522" s="232">
        <f t="shared" ref="D522:F523" si="271">D523</f>
        <v>209.75</v>
      </c>
      <c r="E522" s="232">
        <f t="shared" si="271"/>
        <v>209.75</v>
      </c>
      <c r="F522" s="232">
        <f t="shared" si="271"/>
        <v>209.75</v>
      </c>
      <c r="G522" s="657">
        <f t="shared" si="249"/>
        <v>100</v>
      </c>
      <c r="H522" s="232">
        <f t="shared" si="250"/>
        <v>0</v>
      </c>
    </row>
    <row r="523" spans="1:8" x14ac:dyDescent="0.25">
      <c r="A523" s="133" t="s">
        <v>450</v>
      </c>
      <c r="B523" s="135"/>
      <c r="C523" s="6" t="s">
        <v>740</v>
      </c>
      <c r="D523" s="233">
        <f t="shared" si="271"/>
        <v>209.75</v>
      </c>
      <c r="E523" s="233">
        <f t="shared" si="271"/>
        <v>209.75</v>
      </c>
      <c r="F523" s="233">
        <f t="shared" si="271"/>
        <v>209.75</v>
      </c>
      <c r="G523" s="658">
        <f t="shared" si="249"/>
        <v>100</v>
      </c>
      <c r="H523" s="233">
        <f t="shared" si="250"/>
        <v>0</v>
      </c>
    </row>
    <row r="524" spans="1:8" ht="26.4" x14ac:dyDescent="0.25">
      <c r="A524" s="135"/>
      <c r="B524" s="7" t="s">
        <v>12</v>
      </c>
      <c r="C524" s="6" t="s">
        <v>11</v>
      </c>
      <c r="D524" s="233">
        <v>209.75</v>
      </c>
      <c r="E524" s="233">
        <v>209.75</v>
      </c>
      <c r="F524" s="233">
        <v>209.75</v>
      </c>
      <c r="G524" s="658">
        <f t="shared" si="249"/>
        <v>100</v>
      </c>
      <c r="H524" s="233">
        <f t="shared" si="250"/>
        <v>0</v>
      </c>
    </row>
    <row r="525" spans="1:8" ht="52.8" x14ac:dyDescent="0.25">
      <c r="A525" s="206" t="s">
        <v>351</v>
      </c>
      <c r="B525" s="210"/>
      <c r="C525" s="209" t="s">
        <v>609</v>
      </c>
      <c r="D525" s="230">
        <f>D527</f>
        <v>631.20413999999994</v>
      </c>
      <c r="E525" s="230">
        <f>E527+E532</f>
        <v>5699.3600200000001</v>
      </c>
      <c r="F525" s="230">
        <f>F527+F532</f>
        <v>5699.36</v>
      </c>
      <c r="G525" s="655">
        <f t="shared" si="249"/>
        <v>99.999999649083406</v>
      </c>
      <c r="H525" s="230">
        <f t="shared" si="250"/>
        <v>2.0000000404252205E-5</v>
      </c>
    </row>
    <row r="526" spans="1:8" ht="66" x14ac:dyDescent="0.25">
      <c r="A526" s="190" t="s">
        <v>741</v>
      </c>
      <c r="B526" s="197"/>
      <c r="C526" s="191" t="s">
        <v>350</v>
      </c>
      <c r="D526" s="232">
        <f t="shared" ref="D526:F526" si="272">D527</f>
        <v>631.20413999999994</v>
      </c>
      <c r="E526" s="232">
        <f t="shared" si="272"/>
        <v>0</v>
      </c>
      <c r="F526" s="232">
        <f t="shared" si="272"/>
        <v>0</v>
      </c>
      <c r="G526" s="657" t="e">
        <f t="shared" si="249"/>
        <v>#DIV/0!</v>
      </c>
      <c r="H526" s="232">
        <f t="shared" si="250"/>
        <v>0</v>
      </c>
    </row>
    <row r="527" spans="1:8" ht="52.8" x14ac:dyDescent="0.25">
      <c r="A527" s="177" t="s">
        <v>579</v>
      </c>
      <c r="B527" s="177"/>
      <c r="C527" s="178" t="s">
        <v>742</v>
      </c>
      <c r="D527" s="233">
        <f>D528</f>
        <v>631.20413999999994</v>
      </c>
      <c r="E527" s="233"/>
      <c r="F527" s="233"/>
      <c r="G527" s="658" t="e">
        <f t="shared" si="249"/>
        <v>#DIV/0!</v>
      </c>
      <c r="H527" s="233">
        <f t="shared" si="250"/>
        <v>0</v>
      </c>
    </row>
    <row r="528" spans="1:8" x14ac:dyDescent="0.25">
      <c r="A528" s="177"/>
      <c r="B528" s="177">
        <v>800</v>
      </c>
      <c r="C528" s="6" t="s">
        <v>21</v>
      </c>
      <c r="D528" s="233">
        <f>D531</f>
        <v>631.20413999999994</v>
      </c>
      <c r="E528" s="233"/>
      <c r="F528" s="233"/>
      <c r="G528" s="658" t="e">
        <f t="shared" si="249"/>
        <v>#DIV/0!</v>
      </c>
      <c r="H528" s="233">
        <f t="shared" si="250"/>
        <v>0</v>
      </c>
    </row>
    <row r="529" spans="1:8" x14ac:dyDescent="0.25">
      <c r="A529" s="179"/>
      <c r="B529" s="179"/>
      <c r="C529" s="266" t="s">
        <v>610</v>
      </c>
      <c r="D529" s="233">
        <v>0</v>
      </c>
      <c r="E529" s="233"/>
      <c r="F529" s="233"/>
      <c r="G529" s="658" t="e">
        <f t="shared" si="249"/>
        <v>#DIV/0!</v>
      </c>
      <c r="H529" s="233">
        <f t="shared" si="250"/>
        <v>0</v>
      </c>
    </row>
    <row r="530" spans="1:8" x14ac:dyDescent="0.25">
      <c r="A530" s="179"/>
      <c r="B530" s="179"/>
      <c r="C530" s="266" t="s">
        <v>611</v>
      </c>
      <c r="D530" s="233">
        <v>0</v>
      </c>
      <c r="E530" s="233"/>
      <c r="F530" s="233"/>
      <c r="G530" s="658" t="e">
        <f t="shared" si="249"/>
        <v>#DIV/0!</v>
      </c>
      <c r="H530" s="233">
        <f t="shared" si="250"/>
        <v>0</v>
      </c>
    </row>
    <row r="531" spans="1:8" x14ac:dyDescent="0.25">
      <c r="A531" s="179"/>
      <c r="B531" s="179"/>
      <c r="C531" s="178" t="s">
        <v>612</v>
      </c>
      <c r="D531" s="233">
        <v>631.20413999999994</v>
      </c>
      <c r="E531" s="233"/>
      <c r="F531" s="233"/>
      <c r="G531" s="658" t="e">
        <f t="shared" si="249"/>
        <v>#DIV/0!</v>
      </c>
      <c r="H531" s="233">
        <f t="shared" si="250"/>
        <v>0</v>
      </c>
    </row>
    <row r="532" spans="1:8" ht="26.4" x14ac:dyDescent="0.25">
      <c r="A532" s="722" t="s">
        <v>1107</v>
      </c>
      <c r="B532" s="723"/>
      <c r="C532" s="724" t="s">
        <v>1108</v>
      </c>
      <c r="D532" s="192">
        <f t="shared" ref="D532:F537" si="273">D533</f>
        <v>0</v>
      </c>
      <c r="E532" s="192">
        <f>E533+E535+E537</f>
        <v>5699.3600200000001</v>
      </c>
      <c r="F532" s="192">
        <f>F533+F535+F537</f>
        <v>5699.36</v>
      </c>
      <c r="G532" s="353">
        <f t="shared" si="249"/>
        <v>99.999999649083406</v>
      </c>
      <c r="H532" s="232">
        <f t="shared" ref="H532:H534" si="274">E532-F532</f>
        <v>2.0000000404252205E-5</v>
      </c>
    </row>
    <row r="533" spans="1:8" ht="66" x14ac:dyDescent="0.25">
      <c r="A533" s="721" t="s">
        <v>1109</v>
      </c>
      <c r="B533" s="721"/>
      <c r="C533" s="725" t="s">
        <v>1110</v>
      </c>
      <c r="D533" s="9"/>
      <c r="E533" s="9">
        <f t="shared" si="273"/>
        <v>3174.5435200000002</v>
      </c>
      <c r="F533" s="9">
        <f t="shared" si="273"/>
        <v>3174.5435200000002</v>
      </c>
      <c r="G533" s="354">
        <f t="shared" ref="G533:G538" si="275">F533/E533*100</f>
        <v>100</v>
      </c>
      <c r="H533" s="233">
        <f t="shared" si="274"/>
        <v>0</v>
      </c>
    </row>
    <row r="534" spans="1:8" x14ac:dyDescent="0.25">
      <c r="A534" s="719"/>
      <c r="B534" s="719" t="s">
        <v>79</v>
      </c>
      <c r="C534" s="720" t="s">
        <v>78</v>
      </c>
      <c r="D534" s="9"/>
      <c r="E534" s="344">
        <v>3174.5435200000002</v>
      </c>
      <c r="F534" s="344">
        <v>3174.5435200000002</v>
      </c>
      <c r="G534" s="354">
        <f t="shared" si="275"/>
        <v>100</v>
      </c>
      <c r="H534" s="233">
        <f t="shared" si="274"/>
        <v>0</v>
      </c>
    </row>
    <row r="535" spans="1:8" ht="52.8" x14ac:dyDescent="0.25">
      <c r="A535" s="721" t="s">
        <v>1111</v>
      </c>
      <c r="B535" s="721"/>
      <c r="C535" s="725" t="s">
        <v>742</v>
      </c>
      <c r="D535" s="9"/>
      <c r="E535" s="9">
        <f t="shared" si="273"/>
        <v>1893.6123600000001</v>
      </c>
      <c r="F535" s="9">
        <f t="shared" si="273"/>
        <v>1893.6123399999999</v>
      </c>
      <c r="G535" s="354">
        <f t="shared" si="275"/>
        <v>99.999998943817616</v>
      </c>
      <c r="H535" s="233">
        <f t="shared" ref="H535:H538" si="276">E535-F535</f>
        <v>2.000000017687853E-5</v>
      </c>
    </row>
    <row r="536" spans="1:8" x14ac:dyDescent="0.25">
      <c r="A536" s="719"/>
      <c r="B536" s="719" t="s">
        <v>79</v>
      </c>
      <c r="C536" s="720" t="s">
        <v>78</v>
      </c>
      <c r="D536" s="9"/>
      <c r="E536" s="344">
        <v>1893.6123600000001</v>
      </c>
      <c r="F536" s="344">
        <v>1893.6123399999999</v>
      </c>
      <c r="G536" s="354">
        <f t="shared" si="275"/>
        <v>99.999998943817616</v>
      </c>
      <c r="H536" s="233">
        <f t="shared" si="276"/>
        <v>2.000000017687853E-5</v>
      </c>
    </row>
    <row r="537" spans="1:8" ht="52.8" x14ac:dyDescent="0.25">
      <c r="A537" s="721" t="s">
        <v>1112</v>
      </c>
      <c r="B537" s="721"/>
      <c r="C537" s="725" t="s">
        <v>1113</v>
      </c>
      <c r="D537" s="9"/>
      <c r="E537" s="9">
        <f t="shared" si="273"/>
        <v>631.20413999999994</v>
      </c>
      <c r="F537" s="9">
        <f t="shared" si="273"/>
        <v>631.20413999999994</v>
      </c>
      <c r="G537" s="354">
        <f t="shared" si="275"/>
        <v>100</v>
      </c>
      <c r="H537" s="233">
        <f t="shared" si="276"/>
        <v>0</v>
      </c>
    </row>
    <row r="538" spans="1:8" x14ac:dyDescent="0.25">
      <c r="A538" s="719"/>
      <c r="B538" s="719" t="s">
        <v>79</v>
      </c>
      <c r="C538" s="720" t="s">
        <v>78</v>
      </c>
      <c r="D538" s="9"/>
      <c r="E538" s="9">
        <v>631.20413999999994</v>
      </c>
      <c r="F538" s="9">
        <v>631.20413999999994</v>
      </c>
      <c r="G538" s="354">
        <f t="shared" si="275"/>
        <v>100</v>
      </c>
      <c r="H538" s="233">
        <f t="shared" si="276"/>
        <v>0</v>
      </c>
    </row>
    <row r="539" spans="1:8" ht="39.6" x14ac:dyDescent="0.25">
      <c r="A539" s="206" t="s">
        <v>377</v>
      </c>
      <c r="B539" s="210"/>
      <c r="C539" s="209" t="s">
        <v>613</v>
      </c>
      <c r="D539" s="230">
        <f>D540+D557</f>
        <v>8542.4439999999995</v>
      </c>
      <c r="E539" s="230">
        <f t="shared" ref="E539:F539" si="277">E540+E557</f>
        <v>8532.1059299999997</v>
      </c>
      <c r="F539" s="230">
        <f t="shared" si="277"/>
        <v>7942.5257700000002</v>
      </c>
      <c r="G539" s="655">
        <f t="shared" ref="G539:G612" si="278">F539/E539*100</f>
        <v>93.089863571349269</v>
      </c>
      <c r="H539" s="230">
        <f t="shared" ref="H539:H612" si="279">E539-F539</f>
        <v>589.58015999999952</v>
      </c>
    </row>
    <row r="540" spans="1:8" ht="26.4" x14ac:dyDescent="0.25">
      <c r="A540" s="190" t="s">
        <v>375</v>
      </c>
      <c r="B540" s="197"/>
      <c r="C540" s="191" t="s">
        <v>374</v>
      </c>
      <c r="D540" s="232">
        <f>D541+D543</f>
        <v>7959.1440000000002</v>
      </c>
      <c r="E540" s="232">
        <f>E541+E543+E547+E552</f>
        <v>7948.8059300000004</v>
      </c>
      <c r="F540" s="232">
        <f>F541+F543+F547+F552</f>
        <v>7942.5257700000002</v>
      </c>
      <c r="G540" s="657">
        <f t="shared" si="278"/>
        <v>99.920992409988301</v>
      </c>
      <c r="H540" s="232">
        <f t="shared" si="279"/>
        <v>6.2801600000002509</v>
      </c>
    </row>
    <row r="541" spans="1:8" x14ac:dyDescent="0.25">
      <c r="A541" s="7" t="s">
        <v>373</v>
      </c>
      <c r="B541" s="7"/>
      <c r="C541" s="6" t="s">
        <v>372</v>
      </c>
      <c r="D541" s="233">
        <f>D542</f>
        <v>315.60000000000002</v>
      </c>
      <c r="E541" s="233">
        <f t="shared" ref="E541:F541" si="280">E542</f>
        <v>271.84224</v>
      </c>
      <c r="F541" s="233">
        <f t="shared" si="280"/>
        <v>265.75</v>
      </c>
      <c r="G541" s="658">
        <f t="shared" si="278"/>
        <v>97.758906047860691</v>
      </c>
      <c r="H541" s="233">
        <f t="shared" si="279"/>
        <v>6.0922400000000039</v>
      </c>
    </row>
    <row r="542" spans="1:8" ht="26.4" x14ac:dyDescent="0.25">
      <c r="A542" s="7"/>
      <c r="B542" s="7" t="s">
        <v>12</v>
      </c>
      <c r="C542" s="6" t="s">
        <v>11</v>
      </c>
      <c r="D542" s="233">
        <v>315.60000000000002</v>
      </c>
      <c r="E542" s="233">
        <v>271.84224</v>
      </c>
      <c r="F542" s="233">
        <v>265.75</v>
      </c>
      <c r="G542" s="658">
        <f t="shared" si="278"/>
        <v>97.758906047860691</v>
      </c>
      <c r="H542" s="233">
        <f t="shared" si="279"/>
        <v>6.0922400000000039</v>
      </c>
    </row>
    <row r="543" spans="1:8" ht="26.4" x14ac:dyDescent="0.25">
      <c r="A543" s="7" t="s">
        <v>371</v>
      </c>
      <c r="B543" s="7"/>
      <c r="C543" s="6" t="s">
        <v>370</v>
      </c>
      <c r="D543" s="233">
        <f>D544</f>
        <v>7643.5439999999999</v>
      </c>
      <c r="E543" s="233">
        <f t="shared" ref="E543:F543" si="281">E544</f>
        <v>7642.6879200000003</v>
      </c>
      <c r="F543" s="233">
        <f t="shared" si="281"/>
        <v>7642.5</v>
      </c>
      <c r="G543" s="658">
        <f t="shared" si="278"/>
        <v>99.997541179203338</v>
      </c>
      <c r="H543" s="233">
        <f t="shared" si="279"/>
        <v>0.18792000000030384</v>
      </c>
    </row>
    <row r="544" spans="1:8" ht="26.4" x14ac:dyDescent="0.25">
      <c r="A544" s="7"/>
      <c r="B544" s="7" t="s">
        <v>12</v>
      </c>
      <c r="C544" s="6" t="s">
        <v>11</v>
      </c>
      <c r="D544" s="233">
        <f>D545+D546</f>
        <v>7643.5439999999999</v>
      </c>
      <c r="E544" s="233">
        <f t="shared" ref="E544:F544" si="282">E545+E546</f>
        <v>7642.6879200000003</v>
      </c>
      <c r="F544" s="233">
        <f t="shared" si="282"/>
        <v>7642.5</v>
      </c>
      <c r="G544" s="658">
        <f t="shared" si="278"/>
        <v>99.997541179203338</v>
      </c>
      <c r="H544" s="233">
        <f t="shared" si="279"/>
        <v>0.18792000000030384</v>
      </c>
    </row>
    <row r="545" spans="1:8" x14ac:dyDescent="0.25">
      <c r="A545" s="7"/>
      <c r="B545" s="7"/>
      <c r="C545" s="104" t="s">
        <v>319</v>
      </c>
      <c r="D545" s="233">
        <v>6267.7060799999999</v>
      </c>
      <c r="E545" s="233">
        <v>6266.85</v>
      </c>
      <c r="F545" s="233">
        <v>6266.85</v>
      </c>
      <c r="G545" s="658">
        <f t="shared" si="278"/>
        <v>100</v>
      </c>
      <c r="H545" s="233">
        <f t="shared" si="279"/>
        <v>0</v>
      </c>
    </row>
    <row r="546" spans="1:8" x14ac:dyDescent="0.25">
      <c r="A546" s="7"/>
      <c r="B546" s="7"/>
      <c r="C546" s="6" t="s">
        <v>352</v>
      </c>
      <c r="D546" s="233">
        <v>1375.8379199999999</v>
      </c>
      <c r="E546" s="233">
        <v>1375.8379199999999</v>
      </c>
      <c r="F546" s="233">
        <v>1375.65</v>
      </c>
      <c r="G546" s="658">
        <f t="shared" si="278"/>
        <v>99.986341414401508</v>
      </c>
      <c r="H546" s="233">
        <f t="shared" si="279"/>
        <v>0.1879199999998491</v>
      </c>
    </row>
    <row r="547" spans="1:8" ht="79.2" x14ac:dyDescent="0.25">
      <c r="A547" s="405" t="s">
        <v>859</v>
      </c>
      <c r="B547" s="342"/>
      <c r="C547" s="391" t="s">
        <v>860</v>
      </c>
      <c r="D547" s="392"/>
      <c r="E547" s="392">
        <f>E548</f>
        <v>12.225760000000001</v>
      </c>
      <c r="F547" s="392">
        <f>F548</f>
        <v>12.225760000000001</v>
      </c>
      <c r="G547" s="393">
        <f t="shared" si="278"/>
        <v>100</v>
      </c>
      <c r="H547" s="233">
        <f t="shared" si="279"/>
        <v>0</v>
      </c>
    </row>
    <row r="548" spans="1:8" ht="26.4" x14ac:dyDescent="0.25">
      <c r="A548" s="405"/>
      <c r="B548" s="7" t="s">
        <v>12</v>
      </c>
      <c r="C548" s="6" t="s">
        <v>11</v>
      </c>
      <c r="D548" s="392"/>
      <c r="E548" s="392">
        <f>E549+E550+E551</f>
        <v>12.225760000000001</v>
      </c>
      <c r="F548" s="392">
        <f>F549+F550+F551</f>
        <v>12.225760000000001</v>
      </c>
      <c r="G548" s="393">
        <f t="shared" si="278"/>
        <v>100</v>
      </c>
      <c r="H548" s="233">
        <f t="shared" si="279"/>
        <v>0</v>
      </c>
    </row>
    <row r="549" spans="1:8" x14ac:dyDescent="0.25">
      <c r="A549" s="405"/>
      <c r="B549" s="342"/>
      <c r="C549" s="104" t="s">
        <v>863</v>
      </c>
      <c r="D549" s="392"/>
      <c r="E549" s="392">
        <v>9.0776199999999996</v>
      </c>
      <c r="F549" s="392">
        <v>9.0776199999999996</v>
      </c>
      <c r="G549" s="393">
        <f t="shared" si="278"/>
        <v>100</v>
      </c>
      <c r="H549" s="233">
        <f t="shared" si="279"/>
        <v>0</v>
      </c>
    </row>
    <row r="550" spans="1:8" x14ac:dyDescent="0.25">
      <c r="A550" s="405"/>
      <c r="B550" s="342"/>
      <c r="C550" s="104" t="s">
        <v>319</v>
      </c>
      <c r="D550" s="392"/>
      <c r="E550" s="392">
        <v>3.0258799999999999</v>
      </c>
      <c r="F550" s="392">
        <v>3.0258799999999999</v>
      </c>
      <c r="G550" s="393">
        <f t="shared" si="278"/>
        <v>100</v>
      </c>
      <c r="H550" s="233">
        <f t="shared" si="279"/>
        <v>0</v>
      </c>
    </row>
    <row r="551" spans="1:8" x14ac:dyDescent="0.25">
      <c r="A551" s="405"/>
      <c r="B551" s="342"/>
      <c r="C551" s="6" t="s">
        <v>352</v>
      </c>
      <c r="D551" s="392"/>
      <c r="E551" s="392">
        <v>0.12225999999999999</v>
      </c>
      <c r="F551" s="392">
        <v>0.12225999999999999</v>
      </c>
      <c r="G551" s="393">
        <f t="shared" si="278"/>
        <v>100</v>
      </c>
      <c r="H551" s="233">
        <f t="shared" si="279"/>
        <v>0</v>
      </c>
    </row>
    <row r="552" spans="1:8" ht="118.8" x14ac:dyDescent="0.25">
      <c r="A552" s="405" t="s">
        <v>861</v>
      </c>
      <c r="B552" s="342"/>
      <c r="C552" s="391" t="s">
        <v>862</v>
      </c>
      <c r="D552" s="392"/>
      <c r="E552" s="392">
        <f>E553</f>
        <v>22.05001</v>
      </c>
      <c r="F552" s="392">
        <f>F553</f>
        <v>22.05001</v>
      </c>
      <c r="G552" s="393">
        <f t="shared" si="278"/>
        <v>100</v>
      </c>
      <c r="H552" s="233">
        <f t="shared" si="279"/>
        <v>0</v>
      </c>
    </row>
    <row r="553" spans="1:8" ht="26.4" x14ac:dyDescent="0.25">
      <c r="A553" s="405"/>
      <c r="B553" s="7" t="s">
        <v>12</v>
      </c>
      <c r="C553" s="6" t="s">
        <v>11</v>
      </c>
      <c r="D553" s="392"/>
      <c r="E553" s="392">
        <f>E554+E555+E556</f>
        <v>22.05001</v>
      </c>
      <c r="F553" s="392">
        <f>F554+F555+F556</f>
        <v>22.05001</v>
      </c>
      <c r="G553" s="393">
        <f t="shared" si="278"/>
        <v>100</v>
      </c>
      <c r="H553" s="233">
        <f t="shared" si="279"/>
        <v>0</v>
      </c>
    </row>
    <row r="554" spans="1:8" x14ac:dyDescent="0.25">
      <c r="A554" s="405"/>
      <c r="B554" s="342"/>
      <c r="C554" s="104" t="s">
        <v>863</v>
      </c>
      <c r="D554" s="392"/>
      <c r="E554" s="392">
        <v>16.372129999999999</v>
      </c>
      <c r="F554" s="392">
        <v>16.372129999999999</v>
      </c>
      <c r="G554" s="393">
        <f t="shared" si="278"/>
        <v>100</v>
      </c>
      <c r="H554" s="233">
        <f t="shared" si="279"/>
        <v>0</v>
      </c>
    </row>
    <row r="555" spans="1:8" x14ac:dyDescent="0.25">
      <c r="A555" s="405"/>
      <c r="B555" s="342"/>
      <c r="C555" s="104" t="s">
        <v>319</v>
      </c>
      <c r="D555" s="392"/>
      <c r="E555" s="392">
        <v>5.4573799999999997</v>
      </c>
      <c r="F555" s="392">
        <v>5.4573799999999997</v>
      </c>
      <c r="G555" s="393">
        <f t="shared" si="278"/>
        <v>100</v>
      </c>
      <c r="H555" s="233">
        <f t="shared" si="279"/>
        <v>0</v>
      </c>
    </row>
    <row r="556" spans="1:8" x14ac:dyDescent="0.25">
      <c r="A556" s="405"/>
      <c r="B556" s="342"/>
      <c r="C556" s="6" t="s">
        <v>352</v>
      </c>
      <c r="D556" s="392"/>
      <c r="E556" s="392">
        <v>0.2205</v>
      </c>
      <c r="F556" s="392">
        <v>0.2205</v>
      </c>
      <c r="G556" s="393">
        <f t="shared" si="278"/>
        <v>100</v>
      </c>
      <c r="H556" s="233">
        <f t="shared" si="279"/>
        <v>0</v>
      </c>
    </row>
    <row r="557" spans="1:8" ht="66" x14ac:dyDescent="0.25">
      <c r="A557" s="190" t="s">
        <v>369</v>
      </c>
      <c r="B557" s="197"/>
      <c r="C557" s="191" t="s">
        <v>368</v>
      </c>
      <c r="D557" s="232">
        <f t="shared" ref="D557:F558" si="283">D558</f>
        <v>583.29999999999995</v>
      </c>
      <c r="E557" s="232">
        <f t="shared" si="283"/>
        <v>583.29999999999995</v>
      </c>
      <c r="F557" s="232">
        <f t="shared" si="283"/>
        <v>0</v>
      </c>
      <c r="G557" s="657">
        <f t="shared" si="278"/>
        <v>0</v>
      </c>
      <c r="H557" s="232">
        <f t="shared" si="279"/>
        <v>583.29999999999995</v>
      </c>
    </row>
    <row r="558" spans="1:8" ht="52.8" x14ac:dyDescent="0.25">
      <c r="A558" s="7" t="s">
        <v>367</v>
      </c>
      <c r="B558" s="7"/>
      <c r="C558" s="6" t="s">
        <v>366</v>
      </c>
      <c r="D558" s="233">
        <f t="shared" si="283"/>
        <v>583.29999999999995</v>
      </c>
      <c r="E558" s="233">
        <f t="shared" si="283"/>
        <v>583.29999999999995</v>
      </c>
      <c r="F558" s="233">
        <f t="shared" si="283"/>
        <v>0</v>
      </c>
      <c r="G558" s="658">
        <f t="shared" si="278"/>
        <v>0</v>
      </c>
      <c r="H558" s="233">
        <f t="shared" si="279"/>
        <v>583.29999999999995</v>
      </c>
    </row>
    <row r="559" spans="1:8" ht="26.4" x14ac:dyDescent="0.25">
      <c r="A559" s="7"/>
      <c r="B559" s="7" t="s">
        <v>12</v>
      </c>
      <c r="C559" s="6" t="s">
        <v>11</v>
      </c>
      <c r="D559" s="233">
        <v>583.29999999999995</v>
      </c>
      <c r="E559" s="233">
        <v>583.29999999999995</v>
      </c>
      <c r="F559" s="233">
        <v>0</v>
      </c>
      <c r="G559" s="658">
        <f t="shared" si="278"/>
        <v>0</v>
      </c>
      <c r="H559" s="233">
        <f t="shared" si="279"/>
        <v>583.29999999999995</v>
      </c>
    </row>
    <row r="560" spans="1:8" s="1" customFormat="1" ht="14.4" x14ac:dyDescent="0.3">
      <c r="A560" s="206" t="s">
        <v>18</v>
      </c>
      <c r="B560" s="206"/>
      <c r="C560" s="209" t="s">
        <v>17</v>
      </c>
      <c r="D560" s="230">
        <f t="shared" ref="D560:F560" si="284">D561+D569</f>
        <v>89959.184199999989</v>
      </c>
      <c r="E560" s="230">
        <f t="shared" si="284"/>
        <v>90629.484400000001</v>
      </c>
      <c r="F560" s="230">
        <f t="shared" si="284"/>
        <v>90016.825189999974</v>
      </c>
      <c r="G560" s="655">
        <f t="shared" si="278"/>
        <v>99.323995701778458</v>
      </c>
      <c r="H560" s="230">
        <f t="shared" si="279"/>
        <v>612.65921000002709</v>
      </c>
    </row>
    <row r="561" spans="1:8" s="1" customFormat="1" ht="40.200000000000003" x14ac:dyDescent="0.3">
      <c r="A561" s="15" t="s">
        <v>50</v>
      </c>
      <c r="B561" s="46"/>
      <c r="C561" s="14" t="s">
        <v>49</v>
      </c>
      <c r="D561" s="240">
        <f>D562+D564+D567</f>
        <v>3343.2000000000003</v>
      </c>
      <c r="E561" s="240">
        <f t="shared" ref="E561:F561" si="285">E562+E564+E567</f>
        <v>3343.2000000000003</v>
      </c>
      <c r="F561" s="240">
        <f t="shared" si="285"/>
        <v>3343.2000000000003</v>
      </c>
      <c r="G561" s="672">
        <f t="shared" si="278"/>
        <v>100</v>
      </c>
      <c r="H561" s="240">
        <f t="shared" si="279"/>
        <v>0</v>
      </c>
    </row>
    <row r="562" spans="1:8" s="1" customFormat="1" ht="27" x14ac:dyDescent="0.3">
      <c r="A562" s="7" t="s">
        <v>48</v>
      </c>
      <c r="B562" s="7"/>
      <c r="C562" s="6" t="s">
        <v>47</v>
      </c>
      <c r="D562" s="233">
        <f>D563</f>
        <v>1164</v>
      </c>
      <c r="E562" s="233">
        <f t="shared" ref="E562:F562" si="286">E563</f>
        <v>1164</v>
      </c>
      <c r="F562" s="233">
        <f t="shared" si="286"/>
        <v>1164</v>
      </c>
      <c r="G562" s="658">
        <f t="shared" si="278"/>
        <v>100</v>
      </c>
      <c r="H562" s="233">
        <f t="shared" si="279"/>
        <v>0</v>
      </c>
    </row>
    <row r="563" spans="1:8" s="1" customFormat="1" ht="66.599999999999994" x14ac:dyDescent="0.3">
      <c r="A563" s="7"/>
      <c r="B563" s="7" t="s">
        <v>2</v>
      </c>
      <c r="C563" s="6" t="s">
        <v>1</v>
      </c>
      <c r="D563" s="233">
        <v>1164</v>
      </c>
      <c r="E563" s="233">
        <v>1164</v>
      </c>
      <c r="F563" s="233">
        <v>1164</v>
      </c>
      <c r="G563" s="658">
        <f t="shared" si="278"/>
        <v>100</v>
      </c>
      <c r="H563" s="233">
        <f t="shared" si="279"/>
        <v>0</v>
      </c>
    </row>
    <row r="564" spans="1:8" s="1" customFormat="1" ht="27" x14ac:dyDescent="0.3">
      <c r="A564" s="7" t="s">
        <v>46</v>
      </c>
      <c r="B564" s="7"/>
      <c r="C564" s="12" t="s">
        <v>45</v>
      </c>
      <c r="D564" s="233">
        <f>D565+D566</f>
        <v>2091.9</v>
      </c>
      <c r="E564" s="233">
        <f t="shared" ref="E564:F564" si="287">E565+E566</f>
        <v>2091.9</v>
      </c>
      <c r="F564" s="233">
        <f t="shared" si="287"/>
        <v>2091.9</v>
      </c>
      <c r="G564" s="658">
        <f t="shared" si="278"/>
        <v>100</v>
      </c>
      <c r="H564" s="233">
        <f t="shared" si="279"/>
        <v>0</v>
      </c>
    </row>
    <row r="565" spans="1:8" s="1" customFormat="1" ht="66.599999999999994" x14ac:dyDescent="0.3">
      <c r="A565" s="7"/>
      <c r="B565" s="7" t="s">
        <v>2</v>
      </c>
      <c r="C565" s="6" t="s">
        <v>1</v>
      </c>
      <c r="D565" s="233">
        <f>1960.1+77.4</f>
        <v>2037.5</v>
      </c>
      <c r="E565" s="233">
        <f t="shared" ref="E565:F565" si="288">1960.1+77.4</f>
        <v>2037.5</v>
      </c>
      <c r="F565" s="233">
        <f t="shared" si="288"/>
        <v>2037.5</v>
      </c>
      <c r="G565" s="658">
        <f t="shared" si="278"/>
        <v>100</v>
      </c>
      <c r="H565" s="233">
        <f t="shared" si="279"/>
        <v>0</v>
      </c>
    </row>
    <row r="566" spans="1:8" s="1" customFormat="1" ht="27" x14ac:dyDescent="0.3">
      <c r="A566" s="7"/>
      <c r="B566" s="7" t="s">
        <v>12</v>
      </c>
      <c r="C566" s="6" t="s">
        <v>11</v>
      </c>
      <c r="D566" s="233">
        <v>54.4</v>
      </c>
      <c r="E566" s="233">
        <v>54.4</v>
      </c>
      <c r="F566" s="233">
        <v>54.4</v>
      </c>
      <c r="G566" s="658">
        <f t="shared" si="278"/>
        <v>100</v>
      </c>
      <c r="H566" s="233">
        <f t="shared" si="279"/>
        <v>0</v>
      </c>
    </row>
    <row r="567" spans="1:8" s="1" customFormat="1" ht="66.599999999999994" x14ac:dyDescent="0.3">
      <c r="A567" s="7" t="s">
        <v>689</v>
      </c>
      <c r="B567" s="7"/>
      <c r="C567" s="6" t="s">
        <v>690</v>
      </c>
      <c r="D567" s="233">
        <f>D568</f>
        <v>87.3</v>
      </c>
      <c r="E567" s="233">
        <f t="shared" ref="E567:F567" si="289">E568</f>
        <v>87.3</v>
      </c>
      <c r="F567" s="233">
        <f t="shared" si="289"/>
        <v>87.3</v>
      </c>
      <c r="G567" s="658">
        <f t="shared" si="278"/>
        <v>100</v>
      </c>
      <c r="H567" s="233">
        <f t="shared" si="279"/>
        <v>0</v>
      </c>
    </row>
    <row r="568" spans="1:8" s="1" customFormat="1" ht="27" x14ac:dyDescent="0.3">
      <c r="A568" s="7"/>
      <c r="B568" s="7" t="s">
        <v>12</v>
      </c>
      <c r="C568" s="6" t="s">
        <v>11</v>
      </c>
      <c r="D568" s="233">
        <v>87.3</v>
      </c>
      <c r="E568" s="233">
        <v>87.3</v>
      </c>
      <c r="F568" s="233">
        <v>87.3</v>
      </c>
      <c r="G568" s="658">
        <f t="shared" si="278"/>
        <v>100</v>
      </c>
      <c r="H568" s="233">
        <f t="shared" si="279"/>
        <v>0</v>
      </c>
    </row>
    <row r="569" spans="1:8" s="1" customFormat="1" ht="53.4" x14ac:dyDescent="0.3">
      <c r="A569" s="15" t="s">
        <v>16</v>
      </c>
      <c r="B569" s="15"/>
      <c r="C569" s="14" t="s">
        <v>15</v>
      </c>
      <c r="D569" s="240">
        <f>D570+D574+D585+D589+D592+D598+D600+D602+D604+D594+D596+D577+D579+D581+D583+D606+D608+D610+D612+D614+D618</f>
        <v>86615.984199999992</v>
      </c>
      <c r="E569" s="240">
        <f>E570+E574+E585+E589+E592+E598+E600+E602+E604+E594+E596+E577+E579+E581+E583+E606+E608+E610+E612+E614+E618+E616</f>
        <v>87286.284400000004</v>
      </c>
      <c r="F569" s="240">
        <f>F570+F574+F585+F589+F592+F598+F600+F602+F604+F594+F596+F577+F579+F581+F583+F606+F608+F610+F612+F614+F618+F616</f>
        <v>86673.625189999977</v>
      </c>
      <c r="G569" s="672">
        <f t="shared" si="278"/>
        <v>99.298103689243504</v>
      </c>
      <c r="H569" s="240">
        <f t="shared" si="279"/>
        <v>612.65921000002709</v>
      </c>
    </row>
    <row r="570" spans="1:8" s="1" customFormat="1" ht="27" x14ac:dyDescent="0.3">
      <c r="A570" s="7" t="s">
        <v>365</v>
      </c>
      <c r="B570" s="7"/>
      <c r="C570" s="6" t="s">
        <v>364</v>
      </c>
      <c r="D570" s="234">
        <f>D571+D572+D573</f>
        <v>3297.7</v>
      </c>
      <c r="E570" s="234">
        <f t="shared" ref="E570:F570" si="290">E571+E572+E573</f>
        <v>3297.7</v>
      </c>
      <c r="F570" s="234">
        <f t="shared" si="290"/>
        <v>3297.6525799999995</v>
      </c>
      <c r="G570" s="659">
        <f t="shared" si="278"/>
        <v>99.998562028080158</v>
      </c>
      <c r="H570" s="234">
        <f t="shared" si="279"/>
        <v>4.742000000032931E-2</v>
      </c>
    </row>
    <row r="571" spans="1:8" s="1" customFormat="1" ht="66.599999999999994" x14ac:dyDescent="0.3">
      <c r="A571" s="61"/>
      <c r="B571" s="7" t="s">
        <v>2</v>
      </c>
      <c r="C571" s="6" t="s">
        <v>1</v>
      </c>
      <c r="D571" s="233">
        <v>3141.1</v>
      </c>
      <c r="E571" s="233">
        <v>3141.1</v>
      </c>
      <c r="F571" s="233">
        <v>3141.1</v>
      </c>
      <c r="G571" s="658">
        <f t="shared" si="278"/>
        <v>100</v>
      </c>
      <c r="H571" s="233">
        <f t="shared" si="279"/>
        <v>0</v>
      </c>
    </row>
    <row r="572" spans="1:8" s="1" customFormat="1" ht="27" x14ac:dyDescent="0.3">
      <c r="A572" s="61"/>
      <c r="B572" s="7" t="s">
        <v>12</v>
      </c>
      <c r="C572" s="6" t="s">
        <v>11</v>
      </c>
      <c r="D572" s="233">
        <f>99.8+54.6</f>
        <v>154.4</v>
      </c>
      <c r="E572" s="233">
        <f t="shared" ref="E572" si="291">99.8+54.6</f>
        <v>154.4</v>
      </c>
      <c r="F572" s="233">
        <v>154.39957999999999</v>
      </c>
      <c r="G572" s="658">
        <f t="shared" si="278"/>
        <v>99.999727979274596</v>
      </c>
      <c r="H572" s="233">
        <f t="shared" si="279"/>
        <v>4.200000000196269E-4</v>
      </c>
    </row>
    <row r="573" spans="1:8" s="1" customFormat="1" ht="14.4" x14ac:dyDescent="0.3">
      <c r="A573" s="61"/>
      <c r="B573" s="55" t="s">
        <v>22</v>
      </c>
      <c r="C573" s="102" t="s">
        <v>21</v>
      </c>
      <c r="D573" s="233">
        <v>2.2000000000000002</v>
      </c>
      <c r="E573" s="233">
        <v>2.2000000000000002</v>
      </c>
      <c r="F573" s="233">
        <v>2.153</v>
      </c>
      <c r="G573" s="658">
        <f t="shared" si="278"/>
        <v>97.863636363636346</v>
      </c>
      <c r="H573" s="233">
        <f t="shared" si="279"/>
        <v>4.7000000000000153E-2</v>
      </c>
    </row>
    <row r="574" spans="1:8" s="1" customFormat="1" ht="27" x14ac:dyDescent="0.3">
      <c r="A574" s="7" t="s">
        <v>14</v>
      </c>
      <c r="B574" s="7"/>
      <c r="C574" s="12" t="s">
        <v>13</v>
      </c>
      <c r="D574" s="233">
        <f>D575+D576</f>
        <v>18660</v>
      </c>
      <c r="E574" s="233">
        <f t="shared" ref="E574:F574" si="292">E575+E576</f>
        <v>18660</v>
      </c>
      <c r="F574" s="233">
        <f t="shared" si="292"/>
        <v>18660</v>
      </c>
      <c r="G574" s="658">
        <f t="shared" si="278"/>
        <v>100</v>
      </c>
      <c r="H574" s="233">
        <f t="shared" si="279"/>
        <v>0</v>
      </c>
    </row>
    <row r="575" spans="1:8" s="1" customFormat="1" ht="66.599999999999994" x14ac:dyDescent="0.3">
      <c r="A575" s="7"/>
      <c r="B575" s="7" t="s">
        <v>2</v>
      </c>
      <c r="C575" s="6" t="s">
        <v>1</v>
      </c>
      <c r="D575" s="233">
        <f>17747.5-611.7+626.7</f>
        <v>17762.5</v>
      </c>
      <c r="E575" s="233">
        <f t="shared" ref="E575:F575" si="293">17747.5-611.7+626.7</f>
        <v>17762.5</v>
      </c>
      <c r="F575" s="233">
        <f t="shared" si="293"/>
        <v>17762.5</v>
      </c>
      <c r="G575" s="658">
        <f t="shared" si="278"/>
        <v>100</v>
      </c>
      <c r="H575" s="233">
        <f t="shared" si="279"/>
        <v>0</v>
      </c>
    </row>
    <row r="576" spans="1:8" s="1" customFormat="1" ht="27" x14ac:dyDescent="0.3">
      <c r="A576" s="7"/>
      <c r="B576" s="7" t="s">
        <v>12</v>
      </c>
      <c r="C576" s="6" t="s">
        <v>11</v>
      </c>
      <c r="D576" s="233">
        <v>897.5</v>
      </c>
      <c r="E576" s="233">
        <v>897.5</v>
      </c>
      <c r="F576" s="233">
        <v>897.5</v>
      </c>
      <c r="G576" s="658">
        <f t="shared" si="278"/>
        <v>100</v>
      </c>
      <c r="H576" s="233">
        <f t="shared" si="279"/>
        <v>0</v>
      </c>
    </row>
    <row r="577" spans="1:8" s="1" customFormat="1" ht="66.599999999999994" x14ac:dyDescent="0.3">
      <c r="A577" s="7" t="s">
        <v>10</v>
      </c>
      <c r="B577" s="7"/>
      <c r="C577" s="6" t="s">
        <v>9</v>
      </c>
      <c r="D577" s="234">
        <f>D578</f>
        <v>137.19999999999999</v>
      </c>
      <c r="E577" s="234">
        <f t="shared" ref="E577:F577" si="294">E578</f>
        <v>137.19999999999999</v>
      </c>
      <c r="F577" s="234">
        <f t="shared" si="294"/>
        <v>137.19999999999999</v>
      </c>
      <c r="G577" s="659">
        <f t="shared" si="278"/>
        <v>100</v>
      </c>
      <c r="H577" s="234">
        <f t="shared" si="279"/>
        <v>0</v>
      </c>
    </row>
    <row r="578" spans="1:8" s="1" customFormat="1" ht="66.599999999999994" x14ac:dyDescent="0.3">
      <c r="A578" s="7"/>
      <c r="B578" s="7" t="s">
        <v>2</v>
      </c>
      <c r="C578" s="6" t="s">
        <v>1</v>
      </c>
      <c r="D578" s="239">
        <v>137.19999999999999</v>
      </c>
      <c r="E578" s="239">
        <v>137.19999999999999</v>
      </c>
      <c r="F578" s="239">
        <v>137.19999999999999</v>
      </c>
      <c r="G578" s="670">
        <f t="shared" si="278"/>
        <v>100</v>
      </c>
      <c r="H578" s="239">
        <f t="shared" si="279"/>
        <v>0</v>
      </c>
    </row>
    <row r="579" spans="1:8" s="1" customFormat="1" ht="40.200000000000003" x14ac:dyDescent="0.3">
      <c r="A579" s="7" t="s">
        <v>8</v>
      </c>
      <c r="B579" s="7"/>
      <c r="C579" s="6" t="s">
        <v>7</v>
      </c>
      <c r="D579" s="233">
        <f>D580</f>
        <v>87.119200000000006</v>
      </c>
      <c r="E579" s="233">
        <f t="shared" ref="E579:F579" si="295">E580</f>
        <v>91.904399999999995</v>
      </c>
      <c r="F579" s="233">
        <f t="shared" si="295"/>
        <v>91.904399999999995</v>
      </c>
      <c r="G579" s="658">
        <f t="shared" si="278"/>
        <v>100</v>
      </c>
      <c r="H579" s="233">
        <f t="shared" si="279"/>
        <v>0</v>
      </c>
    </row>
    <row r="580" spans="1:8" s="1" customFormat="1" ht="66.599999999999994" x14ac:dyDescent="0.3">
      <c r="A580" s="7"/>
      <c r="B580" s="7" t="s">
        <v>2</v>
      </c>
      <c r="C580" s="6" t="s">
        <v>1</v>
      </c>
      <c r="D580" s="233">
        <v>87.119200000000006</v>
      </c>
      <c r="E580" s="233">
        <v>91.904399999999995</v>
      </c>
      <c r="F580" s="233">
        <v>91.904399999999995</v>
      </c>
      <c r="G580" s="658">
        <f t="shared" si="278"/>
        <v>100</v>
      </c>
      <c r="H580" s="233">
        <f t="shared" si="279"/>
        <v>0</v>
      </c>
    </row>
    <row r="581" spans="1:8" s="1" customFormat="1" ht="66.599999999999994" x14ac:dyDescent="0.3">
      <c r="A581" s="7" t="s">
        <v>6</v>
      </c>
      <c r="B581" s="7"/>
      <c r="C581" s="6" t="s">
        <v>5</v>
      </c>
      <c r="D581" s="233">
        <f>D582</f>
        <v>7016.6360000000004</v>
      </c>
      <c r="E581" s="233">
        <f t="shared" ref="E581:F581" si="296">E582</f>
        <v>7016.6360000000004</v>
      </c>
      <c r="F581" s="233">
        <f t="shared" si="296"/>
        <v>7016.6360000000004</v>
      </c>
      <c r="G581" s="658">
        <f t="shared" si="278"/>
        <v>100</v>
      </c>
      <c r="H581" s="233">
        <f t="shared" si="279"/>
        <v>0</v>
      </c>
    </row>
    <row r="582" spans="1:8" s="1" customFormat="1" ht="66.599999999999994" x14ac:dyDescent="0.3">
      <c r="A582" s="7"/>
      <c r="B582" s="7" t="s">
        <v>2</v>
      </c>
      <c r="C582" s="6" t="s">
        <v>1</v>
      </c>
      <c r="D582" s="233">
        <f>2102.2606+4914.3754</f>
        <v>7016.6360000000004</v>
      </c>
      <c r="E582" s="233">
        <f t="shared" ref="E582:F582" si="297">2102.2606+4914.3754</f>
        <v>7016.6360000000004</v>
      </c>
      <c r="F582" s="233">
        <f t="shared" si="297"/>
        <v>7016.6360000000004</v>
      </c>
      <c r="G582" s="658">
        <f t="shared" si="278"/>
        <v>100</v>
      </c>
      <c r="H582" s="233">
        <f t="shared" si="279"/>
        <v>0</v>
      </c>
    </row>
    <row r="583" spans="1:8" s="1" customFormat="1" ht="93" x14ac:dyDescent="0.3">
      <c r="A583" s="7" t="s">
        <v>4</v>
      </c>
      <c r="B583" s="7"/>
      <c r="C583" s="6" t="s">
        <v>3</v>
      </c>
      <c r="D583" s="234">
        <f>D584</f>
        <v>227.82900000000001</v>
      </c>
      <c r="E583" s="234">
        <f t="shared" ref="E583:F583" si="298">E584</f>
        <v>227.82900000000001</v>
      </c>
      <c r="F583" s="234">
        <f t="shared" si="298"/>
        <v>227.82900000000001</v>
      </c>
      <c r="G583" s="659">
        <f t="shared" si="278"/>
        <v>100</v>
      </c>
      <c r="H583" s="234">
        <f t="shared" si="279"/>
        <v>0</v>
      </c>
    </row>
    <row r="584" spans="1:8" s="1" customFormat="1" ht="66.599999999999994" x14ac:dyDescent="0.3">
      <c r="A584" s="7"/>
      <c r="B584" s="7" t="s">
        <v>2</v>
      </c>
      <c r="C584" s="6" t="s">
        <v>1</v>
      </c>
      <c r="D584" s="234">
        <v>227.82900000000001</v>
      </c>
      <c r="E584" s="234">
        <v>227.82900000000001</v>
      </c>
      <c r="F584" s="234">
        <v>227.82900000000001</v>
      </c>
      <c r="G584" s="659">
        <f t="shared" si="278"/>
        <v>100</v>
      </c>
      <c r="H584" s="234">
        <f t="shared" si="279"/>
        <v>0</v>
      </c>
    </row>
    <row r="585" spans="1:8" s="1" customFormat="1" ht="27" x14ac:dyDescent="0.3">
      <c r="A585" s="7" t="s">
        <v>509</v>
      </c>
      <c r="B585" s="7"/>
      <c r="C585" s="6" t="s">
        <v>775</v>
      </c>
      <c r="D585" s="234">
        <f t="shared" ref="D585:F585" si="299">D586+D587+D588</f>
        <v>39910.300000000003</v>
      </c>
      <c r="E585" s="234">
        <f t="shared" si="299"/>
        <v>39910.300000000003</v>
      </c>
      <c r="F585" s="234">
        <f t="shared" si="299"/>
        <v>39522.663079999998</v>
      </c>
      <c r="G585" s="659">
        <f t="shared" si="278"/>
        <v>99.028729626186717</v>
      </c>
      <c r="H585" s="234">
        <f t="shared" si="279"/>
        <v>387.63692000000447</v>
      </c>
    </row>
    <row r="586" spans="1:8" s="1" customFormat="1" ht="66.599999999999994" x14ac:dyDescent="0.3">
      <c r="A586" s="7"/>
      <c r="B586" s="7" t="s">
        <v>2</v>
      </c>
      <c r="C586" s="6" t="s">
        <v>1</v>
      </c>
      <c r="D586" s="239">
        <f>18278.1+96.4-118.4-64.4</f>
        <v>18191.699999999997</v>
      </c>
      <c r="E586" s="239">
        <v>18783.277900000001</v>
      </c>
      <c r="F586" s="239">
        <v>18521.600569999999</v>
      </c>
      <c r="G586" s="658">
        <f t="shared" si="278"/>
        <v>98.606860147663568</v>
      </c>
      <c r="H586" s="233">
        <f t="shared" si="279"/>
        <v>261.67733000000226</v>
      </c>
    </row>
    <row r="587" spans="1:8" s="1" customFormat="1" ht="27" x14ac:dyDescent="0.3">
      <c r="A587" s="7"/>
      <c r="B587" s="7" t="s">
        <v>12</v>
      </c>
      <c r="C587" s="6" t="s">
        <v>11</v>
      </c>
      <c r="D587" s="239">
        <v>21290.3</v>
      </c>
      <c r="E587" s="239">
        <v>20687.069100000001</v>
      </c>
      <c r="F587" s="239">
        <v>20561.109509999998</v>
      </c>
      <c r="G587" s="658">
        <f t="shared" si="278"/>
        <v>99.391119208858825</v>
      </c>
      <c r="H587" s="233">
        <f t="shared" si="279"/>
        <v>125.95959000000221</v>
      </c>
    </row>
    <row r="588" spans="1:8" s="1" customFormat="1" ht="14.4" x14ac:dyDescent="0.3">
      <c r="A588" s="7"/>
      <c r="B588" s="7" t="s">
        <v>22</v>
      </c>
      <c r="C588" s="6" t="s">
        <v>21</v>
      </c>
      <c r="D588" s="239">
        <v>428.3</v>
      </c>
      <c r="E588" s="239">
        <v>439.95299999999997</v>
      </c>
      <c r="F588" s="239">
        <v>439.95299999999997</v>
      </c>
      <c r="G588" s="658">
        <f t="shared" si="278"/>
        <v>100</v>
      </c>
      <c r="H588" s="233">
        <f t="shared" si="279"/>
        <v>0</v>
      </c>
    </row>
    <row r="589" spans="1:8" s="1" customFormat="1" ht="14.4" x14ac:dyDescent="0.3">
      <c r="A589" s="55" t="s">
        <v>507</v>
      </c>
      <c r="B589" s="55"/>
      <c r="C589" s="6" t="s">
        <v>506</v>
      </c>
      <c r="D589" s="233">
        <f>D590+D591</f>
        <v>3860.2</v>
      </c>
      <c r="E589" s="233">
        <f t="shared" ref="E589:F589" si="300">E590+E591</f>
        <v>3860.2000000000003</v>
      </c>
      <c r="F589" s="233">
        <f t="shared" si="300"/>
        <v>3860.2000000000003</v>
      </c>
      <c r="G589" s="658">
        <f t="shared" si="278"/>
        <v>100</v>
      </c>
      <c r="H589" s="233">
        <f t="shared" si="279"/>
        <v>0</v>
      </c>
    </row>
    <row r="590" spans="1:8" s="1" customFormat="1" ht="27" x14ac:dyDescent="0.3">
      <c r="A590" s="55"/>
      <c r="B590" s="55" t="s">
        <v>12</v>
      </c>
      <c r="C590" s="6" t="s">
        <v>11</v>
      </c>
      <c r="D590" s="233">
        <v>1212.4000000000001</v>
      </c>
      <c r="E590" s="233">
        <v>3089.9837900000002</v>
      </c>
      <c r="F590" s="233">
        <v>3089.9837900000002</v>
      </c>
      <c r="G590" s="658">
        <f t="shared" si="278"/>
        <v>100</v>
      </c>
      <c r="H590" s="233">
        <f t="shared" si="279"/>
        <v>0</v>
      </c>
    </row>
    <row r="591" spans="1:8" s="1" customFormat="1" ht="27" x14ac:dyDescent="0.3">
      <c r="A591" s="282"/>
      <c r="B591" s="282" t="s">
        <v>57</v>
      </c>
      <c r="C591" s="6" t="s">
        <v>56</v>
      </c>
      <c r="D591" s="280">
        <v>2647.7999999999997</v>
      </c>
      <c r="E591" s="280">
        <v>770.21621000000005</v>
      </c>
      <c r="F591" s="280">
        <v>770.21621000000005</v>
      </c>
      <c r="G591" s="665">
        <f t="shared" si="278"/>
        <v>100</v>
      </c>
      <c r="H591" s="280">
        <f t="shared" si="279"/>
        <v>0</v>
      </c>
    </row>
    <row r="592" spans="1:8" s="1" customFormat="1" ht="27" x14ac:dyDescent="0.3">
      <c r="A592" s="247" t="s">
        <v>773</v>
      </c>
      <c r="B592" s="247"/>
      <c r="C592" s="248" t="s">
        <v>774</v>
      </c>
      <c r="D592" s="246">
        <f>D593</f>
        <v>305.89999999999998</v>
      </c>
      <c r="E592" s="246">
        <f t="shared" ref="E592:F592" si="301">E593</f>
        <v>361.315</v>
      </c>
      <c r="F592" s="246">
        <f t="shared" si="301"/>
        <v>361.15710999999999</v>
      </c>
      <c r="G592" s="673">
        <f t="shared" si="278"/>
        <v>99.956301288349508</v>
      </c>
      <c r="H592" s="246">
        <f t="shared" si="279"/>
        <v>0.15789000000000897</v>
      </c>
    </row>
    <row r="593" spans="1:8" s="1" customFormat="1" ht="14.4" x14ac:dyDescent="0.3">
      <c r="A593" s="249"/>
      <c r="B593" s="247" t="s">
        <v>22</v>
      </c>
      <c r="C593" s="248" t="s">
        <v>21</v>
      </c>
      <c r="D593" s="246">
        <v>305.89999999999998</v>
      </c>
      <c r="E593" s="246">
        <v>361.315</v>
      </c>
      <c r="F593" s="246">
        <v>361.15710999999999</v>
      </c>
      <c r="G593" s="673">
        <f t="shared" si="278"/>
        <v>99.956301288349508</v>
      </c>
      <c r="H593" s="246">
        <f t="shared" si="279"/>
        <v>0.15789000000000897</v>
      </c>
    </row>
    <row r="594" spans="1:8" s="1" customFormat="1" ht="40.200000000000003" x14ac:dyDescent="0.3">
      <c r="A594" s="7" t="s">
        <v>744</v>
      </c>
      <c r="B594" s="7"/>
      <c r="C594" s="6" t="s">
        <v>772</v>
      </c>
      <c r="D594" s="233">
        <f>D595</f>
        <v>556.4</v>
      </c>
      <c r="E594" s="233">
        <f t="shared" ref="E594:F594" si="302">E595</f>
        <v>556.4</v>
      </c>
      <c r="F594" s="233">
        <f t="shared" si="302"/>
        <v>556.4</v>
      </c>
      <c r="G594" s="658">
        <f t="shared" si="278"/>
        <v>100</v>
      </c>
      <c r="H594" s="233">
        <f t="shared" si="279"/>
        <v>0</v>
      </c>
    </row>
    <row r="595" spans="1:8" s="1" customFormat="1" ht="27" x14ac:dyDescent="0.3">
      <c r="A595" s="7"/>
      <c r="B595" s="7" t="s">
        <v>57</v>
      </c>
      <c r="C595" s="6" t="s">
        <v>56</v>
      </c>
      <c r="D595" s="233">
        <v>556.4</v>
      </c>
      <c r="E595" s="233">
        <v>556.4</v>
      </c>
      <c r="F595" s="233">
        <v>556.4</v>
      </c>
      <c r="G595" s="658">
        <f t="shared" si="278"/>
        <v>100</v>
      </c>
      <c r="H595" s="233">
        <f t="shared" si="279"/>
        <v>0</v>
      </c>
    </row>
    <row r="596" spans="1:8" s="1" customFormat="1" ht="53.4" x14ac:dyDescent="0.3">
      <c r="A596" s="7" t="s">
        <v>536</v>
      </c>
      <c r="B596" s="7"/>
      <c r="C596" s="6" t="s">
        <v>535</v>
      </c>
      <c r="D596" s="233">
        <f>D597</f>
        <v>6.2</v>
      </c>
      <c r="E596" s="233">
        <f t="shared" ref="E596:F596" si="303">E597</f>
        <v>6.3</v>
      </c>
      <c r="F596" s="233">
        <f t="shared" si="303"/>
        <v>6.3</v>
      </c>
      <c r="G596" s="658">
        <f t="shared" si="278"/>
        <v>100</v>
      </c>
      <c r="H596" s="233">
        <f t="shared" si="279"/>
        <v>0</v>
      </c>
    </row>
    <row r="597" spans="1:8" s="1" customFormat="1" ht="27" x14ac:dyDescent="0.3">
      <c r="A597" s="7"/>
      <c r="B597" s="7" t="s">
        <v>12</v>
      </c>
      <c r="C597" s="6" t="s">
        <v>11</v>
      </c>
      <c r="D597" s="233">
        <v>6.2</v>
      </c>
      <c r="E597" s="233">
        <v>6.3</v>
      </c>
      <c r="F597" s="233">
        <v>6.3</v>
      </c>
      <c r="G597" s="658">
        <f t="shared" si="278"/>
        <v>100</v>
      </c>
      <c r="H597" s="233">
        <f t="shared" si="279"/>
        <v>0</v>
      </c>
    </row>
    <row r="598" spans="1:8" s="1" customFormat="1" ht="27" x14ac:dyDescent="0.3">
      <c r="A598" s="7" t="s">
        <v>24</v>
      </c>
      <c r="B598" s="7"/>
      <c r="C598" s="6" t="s">
        <v>23</v>
      </c>
      <c r="D598" s="233">
        <f>D599</f>
        <v>1008.6</v>
      </c>
      <c r="E598" s="233">
        <f t="shared" ref="E598:F598" si="304">E599</f>
        <v>1008.6</v>
      </c>
      <c r="F598" s="233">
        <f t="shared" si="304"/>
        <v>847.82047999999998</v>
      </c>
      <c r="G598" s="658">
        <f t="shared" si="278"/>
        <v>84.059139401150105</v>
      </c>
      <c r="H598" s="233">
        <f t="shared" si="279"/>
        <v>160.77952000000005</v>
      </c>
    </row>
    <row r="599" spans="1:8" s="1" customFormat="1" ht="14.4" x14ac:dyDescent="0.3">
      <c r="A599" s="7"/>
      <c r="B599" s="7" t="s">
        <v>22</v>
      </c>
      <c r="C599" s="6" t="s">
        <v>21</v>
      </c>
      <c r="D599" s="233">
        <f>711.6+297</f>
        <v>1008.6</v>
      </c>
      <c r="E599" s="233">
        <f t="shared" ref="E599" si="305">711.6+297</f>
        <v>1008.6</v>
      </c>
      <c r="F599" s="233">
        <v>847.82047999999998</v>
      </c>
      <c r="G599" s="658">
        <f t="shared" si="278"/>
        <v>84.059139401150105</v>
      </c>
      <c r="H599" s="233">
        <f t="shared" si="279"/>
        <v>160.77952000000005</v>
      </c>
    </row>
    <row r="600" spans="1:8" s="1" customFormat="1" ht="40.200000000000003" x14ac:dyDescent="0.3">
      <c r="A600" s="7" t="s">
        <v>43</v>
      </c>
      <c r="B600" s="7"/>
      <c r="C600" s="6" t="s">
        <v>42</v>
      </c>
      <c r="D600" s="233">
        <f>D601</f>
        <v>450</v>
      </c>
      <c r="E600" s="233">
        <f t="shared" ref="E600:F600" si="306">E601</f>
        <v>450</v>
      </c>
      <c r="F600" s="233">
        <f t="shared" si="306"/>
        <v>449.91016999999999</v>
      </c>
      <c r="G600" s="658">
        <f t="shared" si="278"/>
        <v>99.980037777777781</v>
      </c>
      <c r="H600" s="233">
        <f t="shared" si="279"/>
        <v>8.9830000000006294E-2</v>
      </c>
    </row>
    <row r="601" spans="1:8" s="1" customFormat="1" ht="27" x14ac:dyDescent="0.3">
      <c r="A601" s="7"/>
      <c r="B601" s="7" t="s">
        <v>12</v>
      </c>
      <c r="C601" s="6" t="s">
        <v>11</v>
      </c>
      <c r="D601" s="233">
        <v>450</v>
      </c>
      <c r="E601" s="233">
        <v>450</v>
      </c>
      <c r="F601" s="233">
        <v>449.91016999999999</v>
      </c>
      <c r="G601" s="658">
        <f t="shared" si="278"/>
        <v>99.980037777777781</v>
      </c>
      <c r="H601" s="233">
        <f t="shared" si="279"/>
        <v>8.9830000000006294E-2</v>
      </c>
    </row>
    <row r="602" spans="1:8" s="1" customFormat="1" ht="27" x14ac:dyDescent="0.3">
      <c r="A602" s="7" t="s">
        <v>505</v>
      </c>
      <c r="B602" s="7"/>
      <c r="C602" s="6" t="s">
        <v>504</v>
      </c>
      <c r="D602" s="233">
        <f>D603</f>
        <v>310</v>
      </c>
      <c r="E602" s="233">
        <f t="shared" ref="E602:F602" si="307">E603</f>
        <v>310</v>
      </c>
      <c r="F602" s="233">
        <f t="shared" si="307"/>
        <v>310</v>
      </c>
      <c r="G602" s="658">
        <f t="shared" si="278"/>
        <v>100</v>
      </c>
      <c r="H602" s="233">
        <f t="shared" si="279"/>
        <v>0</v>
      </c>
    </row>
    <row r="603" spans="1:8" s="1" customFormat="1" ht="14.4" x14ac:dyDescent="0.3">
      <c r="A603" s="7"/>
      <c r="B603" s="7" t="s">
        <v>22</v>
      </c>
      <c r="C603" s="6" t="s">
        <v>21</v>
      </c>
      <c r="D603" s="233">
        <v>310</v>
      </c>
      <c r="E603" s="233">
        <v>310</v>
      </c>
      <c r="F603" s="233">
        <v>310</v>
      </c>
      <c r="G603" s="658">
        <f t="shared" si="278"/>
        <v>100</v>
      </c>
      <c r="H603" s="233">
        <f t="shared" si="279"/>
        <v>0</v>
      </c>
    </row>
    <row r="604" spans="1:8" s="1" customFormat="1" ht="40.200000000000003" x14ac:dyDescent="0.3">
      <c r="A604" s="7" t="s">
        <v>586</v>
      </c>
      <c r="B604" s="7"/>
      <c r="C604" s="114" t="s">
        <v>510</v>
      </c>
      <c r="D604" s="233">
        <f>D605</f>
        <v>300</v>
      </c>
      <c r="E604" s="233">
        <f t="shared" ref="E604:F604" si="308">E605</f>
        <v>300</v>
      </c>
      <c r="F604" s="233">
        <f t="shared" si="308"/>
        <v>300</v>
      </c>
      <c r="G604" s="658">
        <f t="shared" si="278"/>
        <v>100</v>
      </c>
      <c r="H604" s="233">
        <f t="shared" si="279"/>
        <v>0</v>
      </c>
    </row>
    <row r="605" spans="1:8" s="1" customFormat="1" ht="27" x14ac:dyDescent="0.3">
      <c r="A605" s="7"/>
      <c r="B605" s="7" t="s">
        <v>57</v>
      </c>
      <c r="C605" s="6" t="s">
        <v>56</v>
      </c>
      <c r="D605" s="233">
        <v>300</v>
      </c>
      <c r="E605" s="233">
        <v>300</v>
      </c>
      <c r="F605" s="233">
        <v>300</v>
      </c>
      <c r="G605" s="658">
        <f t="shared" si="278"/>
        <v>100</v>
      </c>
      <c r="H605" s="233">
        <f t="shared" si="279"/>
        <v>0</v>
      </c>
    </row>
    <row r="606" spans="1:8" s="1" customFormat="1" ht="27" x14ac:dyDescent="0.3">
      <c r="A606" s="75" t="s">
        <v>748</v>
      </c>
      <c r="B606" s="55"/>
      <c r="C606" s="115" t="s">
        <v>749</v>
      </c>
      <c r="D606" s="233">
        <f>D607</f>
        <v>112.1</v>
      </c>
      <c r="E606" s="233">
        <f t="shared" ref="E606:F606" si="309">E607</f>
        <v>112.1</v>
      </c>
      <c r="F606" s="233">
        <f t="shared" si="309"/>
        <v>112.1</v>
      </c>
      <c r="G606" s="658">
        <f t="shared" si="278"/>
        <v>100</v>
      </c>
      <c r="H606" s="233">
        <f t="shared" si="279"/>
        <v>0</v>
      </c>
    </row>
    <row r="607" spans="1:8" s="1" customFormat="1" ht="27" x14ac:dyDescent="0.3">
      <c r="A607" s="23"/>
      <c r="B607" s="7" t="s">
        <v>57</v>
      </c>
      <c r="C607" s="6" t="s">
        <v>56</v>
      </c>
      <c r="D607" s="233">
        <v>112.1</v>
      </c>
      <c r="E607" s="233">
        <v>112.1</v>
      </c>
      <c r="F607" s="233">
        <v>112.1</v>
      </c>
      <c r="G607" s="658">
        <f t="shared" si="278"/>
        <v>100</v>
      </c>
      <c r="H607" s="233">
        <f t="shared" si="279"/>
        <v>0</v>
      </c>
    </row>
    <row r="608" spans="1:8" s="1" customFormat="1" ht="40.200000000000003" x14ac:dyDescent="0.3">
      <c r="A608" s="75" t="s">
        <v>757</v>
      </c>
      <c r="B608" s="7"/>
      <c r="C608" s="6" t="s">
        <v>758</v>
      </c>
      <c r="D608" s="233">
        <f>D609</f>
        <v>91.2</v>
      </c>
      <c r="E608" s="233">
        <f t="shared" ref="E608:F608" si="310">E609</f>
        <v>91.2</v>
      </c>
      <c r="F608" s="233">
        <f t="shared" si="310"/>
        <v>27.33737</v>
      </c>
      <c r="G608" s="658">
        <f t="shared" si="278"/>
        <v>29.975186403508769</v>
      </c>
      <c r="H608" s="233">
        <f t="shared" si="279"/>
        <v>63.862630000000003</v>
      </c>
    </row>
    <row r="609" spans="1:8" s="1" customFormat="1" ht="27" x14ac:dyDescent="0.3">
      <c r="A609" s="23"/>
      <c r="B609" s="7" t="s">
        <v>12</v>
      </c>
      <c r="C609" s="6" t="s">
        <v>11</v>
      </c>
      <c r="D609" s="233">
        <v>91.2</v>
      </c>
      <c r="E609" s="233">
        <v>91.2</v>
      </c>
      <c r="F609" s="233">
        <v>27.33737</v>
      </c>
      <c r="G609" s="658">
        <f t="shared" si="278"/>
        <v>29.975186403508769</v>
      </c>
      <c r="H609" s="233">
        <f t="shared" si="279"/>
        <v>63.862630000000003</v>
      </c>
    </row>
    <row r="610" spans="1:8" s="1" customFormat="1" ht="27" x14ac:dyDescent="0.3">
      <c r="A610" s="255" t="s">
        <v>776</v>
      </c>
      <c r="B610" s="249"/>
      <c r="C610" s="256" t="s">
        <v>777</v>
      </c>
      <c r="D610" s="233">
        <f>D611</f>
        <v>8115</v>
      </c>
      <c r="E610" s="233">
        <f t="shared" ref="E610:F610" si="311">E611</f>
        <v>8115</v>
      </c>
      <c r="F610" s="233">
        <f t="shared" si="311"/>
        <v>8115</v>
      </c>
      <c r="G610" s="658">
        <f t="shared" si="278"/>
        <v>100</v>
      </c>
      <c r="H610" s="233">
        <f t="shared" si="279"/>
        <v>0</v>
      </c>
    </row>
    <row r="611" spans="1:8" s="1" customFormat="1" ht="27" x14ac:dyDescent="0.3">
      <c r="A611" s="257"/>
      <c r="B611" s="247" t="s">
        <v>57</v>
      </c>
      <c r="C611" s="248" t="s">
        <v>56</v>
      </c>
      <c r="D611" s="233">
        <v>8115</v>
      </c>
      <c r="E611" s="233">
        <v>8115</v>
      </c>
      <c r="F611" s="233">
        <v>8115</v>
      </c>
      <c r="G611" s="658">
        <f t="shared" si="278"/>
        <v>100</v>
      </c>
      <c r="H611" s="233">
        <f t="shared" si="279"/>
        <v>0</v>
      </c>
    </row>
    <row r="612" spans="1:8" s="1" customFormat="1" ht="27" x14ac:dyDescent="0.3">
      <c r="A612" s="255" t="s">
        <v>783</v>
      </c>
      <c r="B612" s="267"/>
      <c r="C612" s="270" t="s">
        <v>780</v>
      </c>
      <c r="D612" s="233">
        <f>D613</f>
        <v>540</v>
      </c>
      <c r="E612" s="233">
        <f t="shared" ref="E612:F612" si="312">E613</f>
        <v>540</v>
      </c>
      <c r="F612" s="233">
        <f t="shared" si="312"/>
        <v>540</v>
      </c>
      <c r="G612" s="658">
        <f t="shared" si="278"/>
        <v>100</v>
      </c>
      <c r="H612" s="233">
        <f t="shared" si="279"/>
        <v>0</v>
      </c>
    </row>
    <row r="613" spans="1:8" s="1" customFormat="1" ht="27" x14ac:dyDescent="0.3">
      <c r="A613" s="268"/>
      <c r="B613" s="255" t="s">
        <v>57</v>
      </c>
      <c r="C613" s="269" t="s">
        <v>56</v>
      </c>
      <c r="D613" s="233">
        <f>270+270</f>
        <v>540</v>
      </c>
      <c r="E613" s="233">
        <f t="shared" ref="E613:F613" si="313">270+270</f>
        <v>540</v>
      </c>
      <c r="F613" s="233">
        <f t="shared" si="313"/>
        <v>540</v>
      </c>
      <c r="G613" s="658">
        <f t="shared" ref="G613:G620" si="314">F613/E613*100</f>
        <v>100</v>
      </c>
      <c r="H613" s="233">
        <f t="shared" ref="H613:H620" si="315">E613-F613</f>
        <v>0</v>
      </c>
    </row>
    <row r="614" spans="1:8" s="1" customFormat="1" ht="53.4" x14ac:dyDescent="0.3">
      <c r="A614" s="255" t="s">
        <v>779</v>
      </c>
      <c r="B614" s="267"/>
      <c r="C614" s="270" t="s">
        <v>781</v>
      </c>
      <c r="D614" s="233">
        <f>D615</f>
        <v>753.6</v>
      </c>
      <c r="E614" s="233">
        <f t="shared" ref="E614:F614" si="316">E615</f>
        <v>753.6</v>
      </c>
      <c r="F614" s="233">
        <f t="shared" si="316"/>
        <v>753.51499999999999</v>
      </c>
      <c r="G614" s="658">
        <f t="shared" si="314"/>
        <v>99.988720806794049</v>
      </c>
      <c r="H614" s="233">
        <f t="shared" si="315"/>
        <v>8.500000000003638E-2</v>
      </c>
    </row>
    <row r="615" spans="1:8" s="1" customFormat="1" ht="40.200000000000003" x14ac:dyDescent="0.3">
      <c r="A615" s="274"/>
      <c r="B615" s="275" t="s">
        <v>260</v>
      </c>
      <c r="C615" s="6" t="s">
        <v>259</v>
      </c>
      <c r="D615" s="276">
        <v>753.6</v>
      </c>
      <c r="E615" s="276">
        <v>753.6</v>
      </c>
      <c r="F615" s="276">
        <v>753.51499999999999</v>
      </c>
      <c r="G615" s="674">
        <f t="shared" si="314"/>
        <v>99.988720806794049</v>
      </c>
      <c r="H615" s="276">
        <f t="shared" si="315"/>
        <v>8.500000000003638E-2</v>
      </c>
    </row>
    <row r="616" spans="1:8" s="1" customFormat="1" ht="27" x14ac:dyDescent="0.3">
      <c r="A616" s="342" t="s">
        <v>855</v>
      </c>
      <c r="B616" s="342"/>
      <c r="C616" s="6" t="s">
        <v>856</v>
      </c>
      <c r="D616" s="233">
        <f>D617</f>
        <v>0</v>
      </c>
      <c r="E616" s="233">
        <f t="shared" ref="E616" si="317">E617</f>
        <v>610</v>
      </c>
      <c r="F616" s="233">
        <f t="shared" ref="F616" si="318">F617</f>
        <v>610</v>
      </c>
      <c r="G616" s="658">
        <f t="shared" ref="G616:G617" si="319">F616/E616*100</f>
        <v>100</v>
      </c>
      <c r="H616" s="233">
        <f t="shared" ref="H616:H617" si="320">E616-F616</f>
        <v>0</v>
      </c>
    </row>
    <row r="617" spans="1:8" s="1" customFormat="1" ht="66.599999999999994" x14ac:dyDescent="0.3">
      <c r="A617" s="257"/>
      <c r="B617" s="247" t="s">
        <v>2</v>
      </c>
      <c r="C617" s="6" t="s">
        <v>1</v>
      </c>
      <c r="D617" s="233"/>
      <c r="E617" s="233">
        <v>610</v>
      </c>
      <c r="F617" s="233">
        <v>610</v>
      </c>
      <c r="G617" s="658">
        <f t="shared" si="319"/>
        <v>100</v>
      </c>
      <c r="H617" s="233">
        <f t="shared" si="320"/>
        <v>0</v>
      </c>
    </row>
    <row r="618" spans="1:8" s="1" customFormat="1" ht="14.4" x14ac:dyDescent="0.3">
      <c r="A618" s="342" t="s">
        <v>848</v>
      </c>
      <c r="B618" s="267"/>
      <c r="C618" s="270" t="s">
        <v>847</v>
      </c>
      <c r="D618" s="233">
        <f>D619</f>
        <v>870</v>
      </c>
      <c r="E618" s="233">
        <f t="shared" ref="E618:F618" si="321">E619</f>
        <v>870</v>
      </c>
      <c r="F618" s="233">
        <f t="shared" si="321"/>
        <v>870</v>
      </c>
      <c r="G618" s="658">
        <f t="shared" si="314"/>
        <v>100</v>
      </c>
      <c r="H618" s="233">
        <f t="shared" si="315"/>
        <v>0</v>
      </c>
    </row>
    <row r="619" spans="1:8" s="1" customFormat="1" ht="66.599999999999994" x14ac:dyDescent="0.3">
      <c r="A619" s="257"/>
      <c r="B619" s="247" t="s">
        <v>2</v>
      </c>
      <c r="C619" s="6" t="s">
        <v>1</v>
      </c>
      <c r="D619" s="233">
        <v>870</v>
      </c>
      <c r="E619" s="233">
        <v>870</v>
      </c>
      <c r="F619" s="233">
        <v>870</v>
      </c>
      <c r="G619" s="658">
        <f t="shared" si="314"/>
        <v>100</v>
      </c>
      <c r="H619" s="233">
        <f t="shared" si="315"/>
        <v>0</v>
      </c>
    </row>
    <row r="620" spans="1:8" s="1" customFormat="1" ht="14.4" x14ac:dyDescent="0.3">
      <c r="A620" s="4"/>
      <c r="B620" s="4"/>
      <c r="C620" s="3" t="s">
        <v>0</v>
      </c>
      <c r="D620" s="229">
        <f>D560+D9</f>
        <v>1199521.2049400001</v>
      </c>
      <c r="E620" s="229">
        <f>E560+E9</f>
        <v>1363120.3638300002</v>
      </c>
      <c r="F620" s="229">
        <f>F560+F9</f>
        <v>1268542.5757800003</v>
      </c>
      <c r="G620" s="654">
        <f t="shared" si="314"/>
        <v>93.061670079943497</v>
      </c>
      <c r="H620" s="229">
        <f t="shared" si="315"/>
        <v>94577.788049999857</v>
      </c>
    </row>
    <row r="621" spans="1:8" x14ac:dyDescent="0.25">
      <c r="D621" s="173"/>
      <c r="E621" s="173">
        <f>'2.Расходы по вед.'!G909-Справочно.ЦС!E620</f>
        <v>0</v>
      </c>
      <c r="F621" s="173">
        <f>'2.Расходы по вед.'!H909-F620</f>
        <v>0</v>
      </c>
      <c r="G621" s="173"/>
      <c r="H621" s="173"/>
    </row>
    <row r="622" spans="1:8" x14ac:dyDescent="0.25">
      <c r="D622" s="173"/>
      <c r="E622" s="173"/>
      <c r="F622" s="173"/>
      <c r="G622" s="173"/>
      <c r="H622" s="173"/>
    </row>
    <row r="623" spans="1:8" x14ac:dyDescent="0.25">
      <c r="C623" s="174"/>
      <c r="D623" s="175"/>
      <c r="E623" s="175"/>
      <c r="F623" s="175"/>
      <c r="G623" s="175"/>
      <c r="H623" s="175"/>
    </row>
    <row r="624" spans="1:8" x14ac:dyDescent="0.25">
      <c r="D624" s="173"/>
      <c r="E624" s="173"/>
      <c r="F624" s="173"/>
      <c r="G624" s="173"/>
      <c r="H624" s="173"/>
    </row>
    <row r="625" spans="4:8" x14ac:dyDescent="0.25">
      <c r="D625" s="173"/>
      <c r="E625" s="173"/>
      <c r="F625" s="173"/>
      <c r="G625" s="173"/>
      <c r="H625" s="173"/>
    </row>
    <row r="627" spans="4:8" x14ac:dyDescent="0.25">
      <c r="D627" s="173"/>
      <c r="E627" s="173"/>
      <c r="F627" s="173"/>
      <c r="G627" s="173"/>
      <c r="H627" s="173"/>
    </row>
    <row r="628" spans="4:8" x14ac:dyDescent="0.25">
      <c r="D628" s="173"/>
      <c r="E628" s="173"/>
      <c r="F628" s="173"/>
      <c r="G628" s="173"/>
      <c r="H628" s="173"/>
    </row>
    <row r="630" spans="4:8" x14ac:dyDescent="0.25">
      <c r="D630" s="173"/>
      <c r="E630" s="173"/>
      <c r="F630" s="173"/>
      <c r="G630" s="173"/>
      <c r="H630" s="173"/>
    </row>
    <row r="633" spans="4:8" x14ac:dyDescent="0.25">
      <c r="D633" s="173"/>
      <c r="E633" s="173"/>
      <c r="F633" s="173"/>
      <c r="G633" s="173"/>
      <c r="H633" s="173"/>
    </row>
  </sheetData>
  <autoFilter ref="A8:D626"/>
  <mergeCells count="2">
    <mergeCell ref="G4:H4"/>
    <mergeCell ref="A6:H6"/>
  </mergeCells>
  <pageMargins left="1.1023622047244095" right="0.31496062992125984" top="0.39370078740157483" bottom="0.19685039370078741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12</vt:i4>
      </vt:variant>
    </vt:vector>
  </HeadingPairs>
  <TitlesOfParts>
    <vt:vector size="31" baseType="lpstr">
      <vt:lpstr>1.Доходы</vt:lpstr>
      <vt:lpstr>2.Расходы по вед.</vt:lpstr>
      <vt:lpstr>3.Расходы по РзПр</vt:lpstr>
      <vt:lpstr>4.Приложение по источникам</vt:lpstr>
      <vt:lpstr>5. Размер и структура мун.долга</vt:lpstr>
      <vt:lpstr>6. Программа мун.заим.</vt:lpstr>
      <vt:lpstr>7. Программа мун.гарантий</vt:lpstr>
      <vt:lpstr>Справочно.Выполнение МП</vt:lpstr>
      <vt:lpstr>Справочно.ЦС</vt:lpstr>
      <vt:lpstr>Справочно.Содержание ОМСУ</vt:lpstr>
      <vt:lpstr>Справочно.Резервный фонд</vt:lpstr>
      <vt:lpstr>Справочно.Дорожный фонд</vt:lpstr>
      <vt:lpstr>Справочно.инвест.проекты</vt:lpstr>
      <vt:lpstr>Справочно.Бюджетные инвестиции</vt:lpstr>
      <vt:lpstr>Справочно.Исполнение по НП</vt:lpstr>
      <vt:lpstr>справочно.деб.зад.</vt:lpstr>
      <vt:lpstr>справочно.кред.зад.</vt:lpstr>
      <vt:lpstr>Доходы от использ. имущества</vt:lpstr>
      <vt:lpstr>Доходы от продажи имущества</vt:lpstr>
      <vt:lpstr>'1.Доходы'!Область_печати</vt:lpstr>
      <vt:lpstr>'2.Расходы по вед.'!Область_печати</vt:lpstr>
      <vt:lpstr>'3.Расходы по РзПр'!Область_печати</vt:lpstr>
      <vt:lpstr>'5. Размер и структура мун.долга'!Область_печати</vt:lpstr>
      <vt:lpstr>'Доходы от использ. имущества'!Область_печати</vt:lpstr>
      <vt:lpstr>'Доходы от продажи имущества'!Область_печати</vt:lpstr>
      <vt:lpstr>'Справочно.Выполнение МП'!Область_печати</vt:lpstr>
      <vt:lpstr>'Справочно.Дорожный фонд'!Область_печати</vt:lpstr>
      <vt:lpstr>Справочно.инвест.проекты!Область_печати</vt:lpstr>
      <vt:lpstr>'Справочно.Исполнение по НП'!Область_печати</vt:lpstr>
      <vt:lpstr>'Справочно.Содержание ОМСУ'!Область_печати</vt:lpstr>
      <vt:lpstr>Справочно.ЦС!Область_печати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2026-06-19T04:27:38Z</cp:lastPrinted>
  <dcterms:created xsi:type="dcterms:W3CDTF">2024-10-23T06:02:00Z</dcterms:created>
  <dcterms:modified xsi:type="dcterms:W3CDTF">2026-06-19T04:33:45Z</dcterms:modified>
</cp:coreProperties>
</file>