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268" yWindow="492" windowWidth="15480" windowHeight="10452" tabRatio="650"/>
  </bookViews>
  <sheets>
    <sheet name="приложение 1" sheetId="2" r:id="rId1"/>
    <sheet name="Приложение 2" sheetId="1" r:id="rId2"/>
    <sheet name="Приложение 4" sheetId="8" r:id="rId3"/>
    <sheet name="Приложение 5" sheetId="9" r:id="rId4"/>
    <sheet name="свод" sheetId="15" r:id="rId5"/>
  </sheets>
  <definedNames>
    <definedName name="_xlnm._FilterDatabase" localSheetId="0" hidden="1">'приложение 1'!$A$8:$J$624</definedName>
    <definedName name="_xlnm._FilterDatabase" localSheetId="1" hidden="1">'Приложение 2'!$A$9:$M$856</definedName>
    <definedName name="_xlnm.Print_Area" localSheetId="0">'приложение 1'!$A$1:$L$618</definedName>
    <definedName name="_xlnm.Print_Area" localSheetId="1">'Приложение 2'!$A$1:$N$856</definedName>
    <definedName name="_xlnm.Print_Area" localSheetId="2">'Приложение 4'!$A$1:$M$98</definedName>
    <definedName name="_xlnm.Print_Area" localSheetId="3">'Приложение 5'!$A$1:$E$20</definedName>
    <definedName name="_xlnm.Print_Area" localSheetId="4">свод!$A$1:$E$32</definedName>
  </definedNames>
  <calcPr calcId="145621"/>
</workbook>
</file>

<file path=xl/calcChain.xml><?xml version="1.0" encoding="utf-8"?>
<calcChain xmlns="http://schemas.openxmlformats.org/spreadsheetml/2006/main">
  <c r="D30" i="8" l="1"/>
  <c r="E30" i="8"/>
  <c r="F30" i="8"/>
  <c r="H30" i="8"/>
  <c r="I30" i="8"/>
  <c r="J30" i="8"/>
  <c r="L30" i="8"/>
  <c r="M30" i="8"/>
  <c r="C32" i="8"/>
  <c r="F31" i="8"/>
  <c r="H205" i="1" l="1"/>
  <c r="G204" i="1"/>
  <c r="G203" i="1" s="1"/>
  <c r="G206" i="1"/>
  <c r="N206" i="1"/>
  <c r="L206" i="1"/>
  <c r="K206" i="1"/>
  <c r="I206" i="1"/>
  <c r="H206" i="1"/>
  <c r="F206" i="1"/>
  <c r="F458" i="2"/>
  <c r="E459" i="2"/>
  <c r="E457" i="2"/>
  <c r="E456" i="2" s="1"/>
  <c r="L459" i="2"/>
  <c r="J459" i="2"/>
  <c r="I459" i="2"/>
  <c r="G459" i="2"/>
  <c r="F459" i="2"/>
  <c r="D459" i="2"/>
  <c r="I597" i="1" l="1"/>
  <c r="J600" i="1"/>
  <c r="J599" i="1" s="1"/>
  <c r="J598" i="1" s="1"/>
  <c r="J597" i="1" s="1"/>
  <c r="J535" i="1" s="1"/>
  <c r="J534" i="1" s="1"/>
  <c r="J513" i="1" s="1"/>
  <c r="J512" i="1" s="1"/>
  <c r="K601" i="1"/>
  <c r="K600" i="1" s="1"/>
  <c r="K599" i="1" s="1"/>
  <c r="K598" i="1" s="1"/>
  <c r="K597" i="1" s="1"/>
  <c r="I600" i="1"/>
  <c r="I599" i="1" s="1"/>
  <c r="I598" i="1" s="1"/>
  <c r="H600" i="1"/>
  <c r="H599" i="1" s="1"/>
  <c r="H598" i="1" s="1"/>
  <c r="H597" i="1" s="1"/>
  <c r="F600" i="1"/>
  <c r="F599" i="1" s="1"/>
  <c r="F598" i="1" s="1"/>
  <c r="F597" i="1" s="1"/>
  <c r="N599" i="1"/>
  <c r="L599" i="1"/>
  <c r="N598" i="1"/>
  <c r="L598" i="1"/>
  <c r="L597" i="1" s="1"/>
  <c r="H400" i="2"/>
  <c r="I400" i="2"/>
  <c r="G400" i="2"/>
  <c r="I402" i="2"/>
  <c r="G94" i="1" l="1"/>
  <c r="H95" i="1"/>
  <c r="H91" i="1"/>
  <c r="F587" i="2"/>
  <c r="F591" i="2"/>
  <c r="F612" i="2" l="1"/>
  <c r="F592" i="2"/>
  <c r="G346" i="1"/>
  <c r="H717" i="1"/>
  <c r="H716" i="1" s="1"/>
  <c r="H715" i="1" s="1"/>
  <c r="H714" i="1" s="1"/>
  <c r="N717" i="1"/>
  <c r="L717" i="1"/>
  <c r="K717" i="1"/>
  <c r="I717" i="1"/>
  <c r="G716" i="1"/>
  <c r="G715" i="1" s="1"/>
  <c r="G714" i="1" s="1"/>
  <c r="G707" i="1" s="1"/>
  <c r="F716" i="1"/>
  <c r="F715" i="1" s="1"/>
  <c r="F714" i="1" s="1"/>
  <c r="N715" i="1"/>
  <c r="N714" i="1" s="1"/>
  <c r="L715" i="1"/>
  <c r="L714" i="1" s="1"/>
  <c r="K715" i="1"/>
  <c r="K714" i="1" s="1"/>
  <c r="I715" i="1"/>
  <c r="I714" i="1" s="1"/>
  <c r="H605" i="1"/>
  <c r="E612" i="2"/>
  <c r="E592" i="2"/>
  <c r="H585" i="1"/>
  <c r="H584" i="1" s="1"/>
  <c r="H583" i="1"/>
  <c r="H582" i="1" s="1"/>
  <c r="G582" i="1"/>
  <c r="F582" i="1"/>
  <c r="G584" i="1"/>
  <c r="F584" i="1"/>
  <c r="F174" i="2"/>
  <c r="F173" i="2" s="1"/>
  <c r="E173" i="2"/>
  <c r="G173" i="2"/>
  <c r="I173" i="2"/>
  <c r="J173" i="2"/>
  <c r="L173" i="2"/>
  <c r="D173" i="2"/>
  <c r="F172" i="2"/>
  <c r="F171" i="2" s="1"/>
  <c r="E171" i="2"/>
  <c r="D171" i="2"/>
  <c r="L171" i="2"/>
  <c r="G51" i="8" l="1"/>
  <c r="J51" i="8"/>
  <c r="I470" i="2"/>
  <c r="H470" i="2"/>
  <c r="K217" i="1"/>
  <c r="J217" i="1"/>
  <c r="F20" i="8" l="1"/>
  <c r="C25" i="15" l="1"/>
  <c r="H593" i="1"/>
  <c r="I593" i="1"/>
  <c r="I592" i="1" s="1"/>
  <c r="K593" i="1"/>
  <c r="K592" i="1" s="1"/>
  <c r="L593" i="1"/>
  <c r="L592" i="1" s="1"/>
  <c r="N593" i="1"/>
  <c r="N592" i="1" s="1"/>
  <c r="H592" i="1"/>
  <c r="H591" i="1" s="1"/>
  <c r="F593" i="1"/>
  <c r="F592" i="1" s="1"/>
  <c r="I587" i="1"/>
  <c r="I586" i="1" s="1"/>
  <c r="K587" i="1"/>
  <c r="K586" i="1" s="1"/>
  <c r="L587" i="1"/>
  <c r="L586" i="1" s="1"/>
  <c r="N587" i="1"/>
  <c r="N586" i="1" s="1"/>
  <c r="F587" i="1"/>
  <c r="F586" i="1" s="1"/>
  <c r="F579" i="1"/>
  <c r="H579" i="1"/>
  <c r="I579" i="1"/>
  <c r="K579" i="1"/>
  <c r="L579" i="1"/>
  <c r="F116" i="2"/>
  <c r="F115" i="2" s="1"/>
  <c r="G116" i="2"/>
  <c r="G115" i="2" s="1"/>
  <c r="H116" i="2"/>
  <c r="H115" i="2" s="1"/>
  <c r="I116" i="2"/>
  <c r="I115" i="2" s="1"/>
  <c r="J116" i="2"/>
  <c r="J115" i="2" s="1"/>
  <c r="D116" i="2"/>
  <c r="D115" i="2" s="1"/>
  <c r="L562" i="1"/>
  <c r="L561" i="1" s="1"/>
  <c r="I562" i="1"/>
  <c r="I561" i="1" s="1"/>
  <c r="F562" i="1"/>
  <c r="F561" i="1" s="1"/>
  <c r="F489" i="1"/>
  <c r="F488" i="1" s="1"/>
  <c r="F487" i="1" s="1"/>
  <c r="H489" i="1"/>
  <c r="H488" i="1" s="1"/>
  <c r="H487" i="1" s="1"/>
  <c r="L461" i="1"/>
  <c r="L460" i="1" s="1"/>
  <c r="N461" i="1"/>
  <c r="N460" i="1" s="1"/>
  <c r="F461" i="1"/>
  <c r="F460" i="1" s="1"/>
  <c r="F412" i="1"/>
  <c r="I384" i="1"/>
  <c r="J384" i="1"/>
  <c r="K384" i="1"/>
  <c r="L384" i="1"/>
  <c r="N384" i="1"/>
  <c r="F384" i="1"/>
  <c r="I380" i="1"/>
  <c r="L380" i="1"/>
  <c r="N380" i="1"/>
  <c r="F380" i="1"/>
  <c r="I339" i="1"/>
  <c r="I338" i="1" s="1"/>
  <c r="K339" i="1"/>
  <c r="K338" i="1" s="1"/>
  <c r="L339" i="1"/>
  <c r="L338" i="1" s="1"/>
  <c r="N339" i="1"/>
  <c r="N338" i="1" s="1"/>
  <c r="F339" i="1"/>
  <c r="F338" i="1" s="1"/>
  <c r="J507" i="2"/>
  <c r="J506" i="2" s="1"/>
  <c r="G507" i="2"/>
  <c r="G506" i="2" s="1"/>
  <c r="D508" i="2"/>
  <c r="D507" i="2"/>
  <c r="D506" i="2" s="1"/>
  <c r="D497" i="2"/>
  <c r="G497" i="2"/>
  <c r="J497" i="2"/>
  <c r="L497" i="2"/>
  <c r="D483" i="2"/>
  <c r="D482" i="2" s="1"/>
  <c r="H449" i="2"/>
  <c r="K449" i="2"/>
  <c r="G450" i="2"/>
  <c r="G449" i="2" s="1"/>
  <c r="I450" i="2"/>
  <c r="I449" i="2" s="1"/>
  <c r="J450" i="2"/>
  <c r="J449" i="2" s="1"/>
  <c r="L450" i="2"/>
  <c r="L449" i="2" s="1"/>
  <c r="D450" i="2"/>
  <c r="D449" i="2" s="1"/>
  <c r="G425" i="2"/>
  <c r="I425" i="2"/>
  <c r="J425" i="2"/>
  <c r="L425" i="2"/>
  <c r="D425" i="2"/>
  <c r="D422" i="2"/>
  <c r="D421" i="2" s="1"/>
  <c r="G421" i="2"/>
  <c r="F391" i="2"/>
  <c r="G391" i="2"/>
  <c r="I391" i="2"/>
  <c r="J391" i="2"/>
  <c r="L391" i="2"/>
  <c r="D391" i="2"/>
  <c r="F348" i="2"/>
  <c r="F347" i="2" s="1"/>
  <c r="G348" i="2"/>
  <c r="G347" i="2" s="1"/>
  <c r="I348" i="2"/>
  <c r="I347" i="2" s="1"/>
  <c r="J348" i="2"/>
  <c r="J347" i="2" s="1"/>
  <c r="L348" i="2"/>
  <c r="L347" i="2" s="1"/>
  <c r="D348" i="2"/>
  <c r="F280" i="2"/>
  <c r="G280" i="2"/>
  <c r="G279" i="2" s="1"/>
  <c r="G278" i="2" s="1"/>
  <c r="G277" i="2" s="1"/>
  <c r="I280" i="2"/>
  <c r="I279" i="2" s="1"/>
  <c r="I278" i="2" s="1"/>
  <c r="I277" i="2" s="1"/>
  <c r="J280" i="2"/>
  <c r="J279" i="2" s="1"/>
  <c r="J278" i="2" s="1"/>
  <c r="J277" i="2" s="1"/>
  <c r="L280" i="2"/>
  <c r="L279" i="2" s="1"/>
  <c r="L278" i="2" s="1"/>
  <c r="L277" i="2" s="1"/>
  <c r="D280" i="2"/>
  <c r="D279" i="2" s="1"/>
  <c r="D278" i="2" s="1"/>
  <c r="D277" i="2" s="1"/>
  <c r="F279" i="2"/>
  <c r="F278" i="2" s="1"/>
  <c r="F277" i="2" s="1"/>
  <c r="G182" i="2"/>
  <c r="G181" i="2" s="1"/>
  <c r="G180" i="2" s="1"/>
  <c r="I182" i="2"/>
  <c r="I181" i="2" s="1"/>
  <c r="I180" i="2" s="1"/>
  <c r="J182" i="2"/>
  <c r="J181" i="2" s="1"/>
  <c r="J180" i="2" s="1"/>
  <c r="L182" i="2"/>
  <c r="L181" i="2" s="1"/>
  <c r="L180" i="2" s="1"/>
  <c r="F177" i="2"/>
  <c r="F176" i="2" s="1"/>
  <c r="F175" i="2" s="1"/>
  <c r="G177" i="2"/>
  <c r="G176" i="2" s="1"/>
  <c r="G175" i="2" s="1"/>
  <c r="I177" i="2"/>
  <c r="I176" i="2" s="1"/>
  <c r="I175" i="2" s="1"/>
  <c r="J177" i="2"/>
  <c r="J176" i="2" s="1"/>
  <c r="J175" i="2" s="1"/>
  <c r="L177" i="2"/>
  <c r="L176" i="2" s="1"/>
  <c r="L175" i="2" s="1"/>
  <c r="D177" i="2"/>
  <c r="D176" i="2"/>
  <c r="D175" i="2" s="1"/>
  <c r="D180" i="2"/>
  <c r="K372" i="2"/>
  <c r="H346" i="1"/>
  <c r="I603" i="1"/>
  <c r="K603" i="1"/>
  <c r="L603" i="1"/>
  <c r="N603" i="1"/>
  <c r="G604" i="1"/>
  <c r="G603" i="1" s="1"/>
  <c r="G602" i="1" s="1"/>
  <c r="H604" i="1"/>
  <c r="H603" i="1" s="1"/>
  <c r="N605" i="1"/>
  <c r="L605" i="1"/>
  <c r="K605" i="1"/>
  <c r="I605" i="1"/>
  <c r="F604" i="1"/>
  <c r="F603" i="1" s="1"/>
  <c r="E590" i="2"/>
  <c r="D590" i="2"/>
  <c r="F590" i="2"/>
  <c r="J97" i="8"/>
  <c r="J94" i="8" s="1"/>
  <c r="F97" i="8"/>
  <c r="G98" i="8"/>
  <c r="G97" i="8" s="1"/>
  <c r="C98" i="8"/>
  <c r="C97" i="8" s="1"/>
  <c r="J93" i="8"/>
  <c r="G327" i="1"/>
  <c r="G326" i="1" s="1"/>
  <c r="H340" i="1"/>
  <c r="H339" i="1" s="1"/>
  <c r="H338" i="1" s="1"/>
  <c r="G340" i="1"/>
  <c r="G339" i="1" s="1"/>
  <c r="G338" i="1" s="1"/>
  <c r="F451" i="2"/>
  <c r="F450" i="2" s="1"/>
  <c r="F449" i="2" s="1"/>
  <c r="E451" i="2"/>
  <c r="E450" i="2" s="1"/>
  <c r="E449" i="2" s="1"/>
  <c r="E438" i="2"/>
  <c r="E437" i="2" s="1"/>
  <c r="E429" i="2" s="1"/>
  <c r="M413" i="1"/>
  <c r="M412" i="1" s="1"/>
  <c r="M411" i="1" s="1"/>
  <c r="J413" i="1"/>
  <c r="J412" i="1" s="1"/>
  <c r="J411" i="1" s="1"/>
  <c r="G413" i="1"/>
  <c r="G412" i="1" s="1"/>
  <c r="G411" i="1" s="1"/>
  <c r="M407" i="1"/>
  <c r="M406" i="1" s="1"/>
  <c r="M405" i="1" s="1"/>
  <c r="J407" i="1"/>
  <c r="J406" i="1" s="1"/>
  <c r="J405" i="1" s="1"/>
  <c r="G407" i="1"/>
  <c r="G406" i="1" s="1"/>
  <c r="G405" i="1" s="1"/>
  <c r="N413" i="1"/>
  <c r="N412" i="1" s="1"/>
  <c r="N411" i="1" s="1"/>
  <c r="K413" i="1"/>
  <c r="K412" i="1" s="1"/>
  <c r="K411" i="1" s="1"/>
  <c r="H413" i="1"/>
  <c r="H412" i="1" s="1"/>
  <c r="H411" i="1" s="1"/>
  <c r="G457" i="1"/>
  <c r="G456" i="1" s="1"/>
  <c r="G455" i="1" s="1"/>
  <c r="G463" i="1"/>
  <c r="G462" i="1" s="1"/>
  <c r="G461" i="1" s="1"/>
  <c r="G460" i="1" s="1"/>
  <c r="K463" i="1"/>
  <c r="K462" i="1" s="1"/>
  <c r="K461" i="1" s="1"/>
  <c r="K460" i="1" s="1"/>
  <c r="I463" i="1"/>
  <c r="I462" i="1" s="1"/>
  <c r="I461" i="1" s="1"/>
  <c r="I460" i="1" s="1"/>
  <c r="H463" i="1"/>
  <c r="H462" i="1" s="1"/>
  <c r="H461" i="1" s="1"/>
  <c r="H460" i="1" s="1"/>
  <c r="M562" i="1"/>
  <c r="M561" i="1" s="1"/>
  <c r="J562" i="1"/>
  <c r="J561" i="1" s="1"/>
  <c r="G562" i="1"/>
  <c r="G561" i="1" s="1"/>
  <c r="M559" i="1"/>
  <c r="M558" i="1" s="1"/>
  <c r="J559" i="1"/>
  <c r="J558" i="1" s="1"/>
  <c r="G559" i="1"/>
  <c r="G558" i="1" s="1"/>
  <c r="N562" i="1"/>
  <c r="N561" i="1" s="1"/>
  <c r="K562" i="1"/>
  <c r="K561" i="1" s="1"/>
  <c r="H562" i="1"/>
  <c r="H561" i="1" s="1"/>
  <c r="K116" i="2"/>
  <c r="K115" i="2" s="1"/>
  <c r="E116" i="2"/>
  <c r="E115" i="2" s="1"/>
  <c r="K113" i="2"/>
  <c r="K112" i="2" s="1"/>
  <c r="H113" i="2"/>
  <c r="H112" i="2" s="1"/>
  <c r="E113" i="2"/>
  <c r="E112" i="2" s="1"/>
  <c r="L116" i="2"/>
  <c r="L115" i="2" s="1"/>
  <c r="G593" i="1"/>
  <c r="G592" i="1" s="1"/>
  <c r="G591" i="1" s="1"/>
  <c r="G575" i="1"/>
  <c r="G574" i="1" s="1"/>
  <c r="H588" i="1"/>
  <c r="H587" i="1" s="1"/>
  <c r="H586" i="1" s="1"/>
  <c r="G571" i="1"/>
  <c r="G570" i="1" s="1"/>
  <c r="G569" i="1" s="1"/>
  <c r="G588" i="1"/>
  <c r="G587" i="1" s="1"/>
  <c r="G586" i="1" s="1"/>
  <c r="E164" i="2"/>
  <c r="E163" i="2" s="1"/>
  <c r="E160" i="2"/>
  <c r="E159" i="2" s="1"/>
  <c r="E158" i="2" s="1"/>
  <c r="F185" i="2"/>
  <c r="F182" i="2" s="1"/>
  <c r="F181" i="2" s="1"/>
  <c r="F180" i="2" s="1"/>
  <c r="E185" i="2"/>
  <c r="E182" i="2" s="1"/>
  <c r="E181" i="2" s="1"/>
  <c r="E180" i="2" s="1"/>
  <c r="E177" i="2"/>
  <c r="E176" i="2" s="1"/>
  <c r="E175" i="2" s="1"/>
  <c r="N580" i="1"/>
  <c r="N579" i="1" s="1"/>
  <c r="N569" i="1" s="1"/>
  <c r="N568" i="1" s="1"/>
  <c r="M580" i="1"/>
  <c r="M579" i="1" s="1"/>
  <c r="M569" i="1" s="1"/>
  <c r="M568" i="1" s="1"/>
  <c r="G763" i="1"/>
  <c r="G762" i="1" s="1"/>
  <c r="G760" i="1"/>
  <c r="G759" i="1" s="1"/>
  <c r="G726" i="1"/>
  <c r="G725" i="1" s="1"/>
  <c r="G722" i="1" s="1"/>
  <c r="G721" i="1" s="1"/>
  <c r="G720" i="1" s="1"/>
  <c r="G719" i="1" s="1"/>
  <c r="G718" i="1" s="1"/>
  <c r="G706" i="1" s="1"/>
  <c r="G776" i="1"/>
  <c r="H777" i="1"/>
  <c r="G780" i="1"/>
  <c r="H781" i="1"/>
  <c r="H782" i="1"/>
  <c r="G782" i="1"/>
  <c r="G745" i="1"/>
  <c r="G744" i="1" s="1"/>
  <c r="H746" i="1"/>
  <c r="M834" i="1"/>
  <c r="M833" i="1" s="1"/>
  <c r="M832" i="1" s="1"/>
  <c r="J834" i="1"/>
  <c r="J833" i="1" s="1"/>
  <c r="J832" i="1" s="1"/>
  <c r="G834" i="1"/>
  <c r="G833" i="1" s="1"/>
  <c r="G832" i="1" s="1"/>
  <c r="N835" i="1"/>
  <c r="N834" i="1" s="1"/>
  <c r="N833" i="1" s="1"/>
  <c r="N832" i="1" s="1"/>
  <c r="K835" i="1"/>
  <c r="H835" i="1"/>
  <c r="M126" i="1"/>
  <c r="M119" i="1" s="1"/>
  <c r="M118" i="1" s="1"/>
  <c r="M117" i="1" s="1"/>
  <c r="M116" i="1" s="1"/>
  <c r="M115" i="1" s="1"/>
  <c r="J126" i="1"/>
  <c r="J119" i="1" s="1"/>
  <c r="J118" i="1" s="1"/>
  <c r="J117" i="1" s="1"/>
  <c r="J116" i="1" s="1"/>
  <c r="J115" i="1" s="1"/>
  <c r="G126" i="1"/>
  <c r="G119" i="1" s="1"/>
  <c r="G118" i="1" s="1"/>
  <c r="G117" i="1" s="1"/>
  <c r="G116" i="1" s="1"/>
  <c r="G115" i="1" s="1"/>
  <c r="N127" i="1"/>
  <c r="N126" i="1" s="1"/>
  <c r="K127" i="1"/>
  <c r="K126" i="1" s="1"/>
  <c r="H127" i="1"/>
  <c r="G347" i="1"/>
  <c r="H348" i="1"/>
  <c r="J90" i="1"/>
  <c r="J89" i="1" s="1"/>
  <c r="J88" i="1" s="1"/>
  <c r="J62" i="1" s="1"/>
  <c r="K92" i="1"/>
  <c r="H92" i="1"/>
  <c r="G90" i="1"/>
  <c r="K234" i="1"/>
  <c r="K231" i="1" s="1"/>
  <c r="K230" i="1" s="1"/>
  <c r="K229" i="1" s="1"/>
  <c r="J234" i="1"/>
  <c r="J231" i="1" s="1"/>
  <c r="J230" i="1" s="1"/>
  <c r="J229" i="1" s="1"/>
  <c r="G231" i="1"/>
  <c r="G230" i="1" s="1"/>
  <c r="G229" i="1" s="1"/>
  <c r="J225" i="1"/>
  <c r="J224" i="1" s="1"/>
  <c r="J223" i="1" s="1"/>
  <c r="G225" i="1"/>
  <c r="G224" i="1" s="1"/>
  <c r="H234" i="1"/>
  <c r="H231" i="1" s="1"/>
  <c r="H230" i="1" s="1"/>
  <c r="H229" i="1" s="1"/>
  <c r="J216" i="1"/>
  <c r="J211" i="1" s="1"/>
  <c r="K381" i="1"/>
  <c r="K380" i="1" s="1"/>
  <c r="J395" i="1"/>
  <c r="J394" i="1" s="1"/>
  <c r="J387" i="1" s="1"/>
  <c r="J381" i="1"/>
  <c r="J380" i="1" s="1"/>
  <c r="H422" i="2"/>
  <c r="H421" i="2" s="1"/>
  <c r="H420" i="2" s="1"/>
  <c r="H408" i="2"/>
  <c r="H407" i="2" s="1"/>
  <c r="H393" i="2" s="1"/>
  <c r="M202" i="1"/>
  <c r="M201" i="1" s="1"/>
  <c r="M200" i="1" s="1"/>
  <c r="M199" i="1" s="1"/>
  <c r="F239" i="1"/>
  <c r="K240" i="1"/>
  <c r="K239" i="1" s="1"/>
  <c r="J240" i="1"/>
  <c r="J239" i="1" s="1"/>
  <c r="J235" i="1" s="1"/>
  <c r="H240" i="1"/>
  <c r="H239" i="1" s="1"/>
  <c r="G240" i="1"/>
  <c r="G239" i="1" s="1"/>
  <c r="G235" i="1" s="1"/>
  <c r="G395" i="1"/>
  <c r="G394" i="1" s="1"/>
  <c r="H385" i="1"/>
  <c r="H384" i="1" s="1"/>
  <c r="G385" i="1"/>
  <c r="G384" i="1" s="1"/>
  <c r="H381" i="1"/>
  <c r="H380" i="1" s="1"/>
  <c r="G381" i="1"/>
  <c r="G380" i="1" s="1"/>
  <c r="G390" i="1"/>
  <c r="H391" i="1"/>
  <c r="G427" i="1"/>
  <c r="G426" i="1" s="1"/>
  <c r="G425" i="1" s="1"/>
  <c r="G424" i="1" s="1"/>
  <c r="G423" i="1" s="1"/>
  <c r="G422" i="1" s="1"/>
  <c r="G364" i="1"/>
  <c r="G359" i="1" s="1"/>
  <c r="H365" i="1"/>
  <c r="G259" i="1"/>
  <c r="G258" i="1" s="1"/>
  <c r="H260" i="1"/>
  <c r="G262" i="1"/>
  <c r="G261" i="1" s="1"/>
  <c r="H262" i="1"/>
  <c r="H261" i="1" s="1"/>
  <c r="F261" i="1"/>
  <c r="M25" i="1"/>
  <c r="M24" i="1" s="1"/>
  <c r="M23" i="1" s="1"/>
  <c r="M22" i="1" s="1"/>
  <c r="M21" i="1" s="1"/>
  <c r="M20" i="1" s="1"/>
  <c r="M12" i="1" s="1"/>
  <c r="J25" i="1"/>
  <c r="J24" i="1" s="1"/>
  <c r="J23" i="1" s="1"/>
  <c r="J22" i="1" s="1"/>
  <c r="J21" i="1" s="1"/>
  <c r="J20" i="1" s="1"/>
  <c r="G25" i="1"/>
  <c r="G24" i="1" s="1"/>
  <c r="G23" i="1" s="1"/>
  <c r="G22" i="1" s="1"/>
  <c r="G21" i="1" s="1"/>
  <c r="G20" i="1" s="1"/>
  <c r="N26" i="1"/>
  <c r="K26" i="1"/>
  <c r="K25" i="1" s="1"/>
  <c r="K24" i="1" s="1"/>
  <c r="K23" i="1" s="1"/>
  <c r="H26" i="1"/>
  <c r="N854" i="1"/>
  <c r="N852" i="1"/>
  <c r="N850" i="1"/>
  <c r="N848" i="1"/>
  <c r="N845" i="1"/>
  <c r="N840" i="1"/>
  <c r="N839" i="1" s="1"/>
  <c r="N838" i="1" s="1"/>
  <c r="N837" i="1" s="1"/>
  <c r="N825" i="1"/>
  <c r="N824" i="1" s="1"/>
  <c r="N820" i="1"/>
  <c r="N819" i="1" s="1"/>
  <c r="N817" i="1"/>
  <c r="N810" i="1"/>
  <c r="N809" i="1" s="1"/>
  <c r="N808" i="1" s="1"/>
  <c r="N807" i="1" s="1"/>
  <c r="N806" i="1" s="1"/>
  <c r="N805" i="1" s="1"/>
  <c r="N804" i="1" s="1"/>
  <c r="N802" i="1"/>
  <c r="N801" i="1" s="1"/>
  <c r="N800" i="1" s="1"/>
  <c r="N799" i="1" s="1"/>
  <c r="N798" i="1" s="1"/>
  <c r="N797" i="1" s="1"/>
  <c r="N794" i="1"/>
  <c r="N793" i="1" s="1"/>
  <c r="N792" i="1" s="1"/>
  <c r="N791" i="1" s="1"/>
  <c r="N790" i="1" s="1"/>
  <c r="N789" i="1" s="1"/>
  <c r="N788" i="1" s="1"/>
  <c r="N786" i="1"/>
  <c r="N785" i="1" s="1"/>
  <c r="N778" i="1"/>
  <c r="N776" i="1"/>
  <c r="N771" i="1"/>
  <c r="N770" i="1" s="1"/>
  <c r="N769" i="1" s="1"/>
  <c r="N768" i="1" s="1"/>
  <c r="N767" i="1" s="1"/>
  <c r="N758" i="1"/>
  <c r="N750" i="1"/>
  <c r="N749" i="1" s="1"/>
  <c r="N745" i="1"/>
  <c r="N744" i="1" s="1"/>
  <c r="N743" i="1"/>
  <c r="N742" i="1" s="1"/>
  <c r="N741" i="1" s="1"/>
  <c r="N734" i="1"/>
  <c r="N733" i="1" s="1"/>
  <c r="N732" i="1" s="1"/>
  <c r="N731" i="1" s="1"/>
  <c r="N730" i="1" s="1"/>
  <c r="N729" i="1" s="1"/>
  <c r="N726" i="1"/>
  <c r="N725" i="1" s="1"/>
  <c r="N723" i="1"/>
  <c r="N712" i="1"/>
  <c r="N711" i="1" s="1"/>
  <c r="N710" i="1" s="1"/>
  <c r="N709" i="1" s="1"/>
  <c r="N708" i="1" s="1"/>
  <c r="N707" i="1" s="1"/>
  <c r="N699" i="1"/>
  <c r="N698" i="1"/>
  <c r="N694" i="1"/>
  <c r="N693" i="1" s="1"/>
  <c r="N691" i="1"/>
  <c r="N684" i="1"/>
  <c r="N683" i="1" s="1"/>
  <c r="N682" i="1" s="1"/>
  <c r="N681" i="1" s="1"/>
  <c r="N680" i="1" s="1"/>
  <c r="N679" i="1" s="1"/>
  <c r="N676" i="1"/>
  <c r="N674" i="1"/>
  <c r="N671" i="1"/>
  <c r="N670" i="1" s="1"/>
  <c r="N668" i="1"/>
  <c r="N666" i="1"/>
  <c r="N662" i="1"/>
  <c r="N661" i="1" s="1"/>
  <c r="N660" i="1" s="1"/>
  <c r="N654" i="1"/>
  <c r="N653" i="1" s="1"/>
  <c r="N652" i="1" s="1"/>
  <c r="N650" i="1"/>
  <c r="N648" i="1"/>
  <c r="N642" i="1"/>
  <c r="N640" i="1"/>
  <c r="N638" i="1"/>
  <c r="N634" i="1"/>
  <c r="N632" i="1"/>
  <c r="N630" i="1"/>
  <c r="N628" i="1"/>
  <c r="N626" i="1"/>
  <c r="N621" i="1"/>
  <c r="N620" i="1" s="1"/>
  <c r="N619" i="1" s="1"/>
  <c r="N618" i="1" s="1"/>
  <c r="N617" i="1" s="1"/>
  <c r="N613" i="1"/>
  <c r="N611" i="1"/>
  <c r="N566" i="1"/>
  <c r="N565" i="1" s="1"/>
  <c r="N564" i="1" s="1"/>
  <c r="N559" i="1"/>
  <c r="N558" i="1" s="1"/>
  <c r="N556" i="1"/>
  <c r="N554" i="1"/>
  <c r="N552" i="1"/>
  <c r="N550" i="1"/>
  <c r="N548" i="1"/>
  <c r="N544" i="1"/>
  <c r="N543" i="1"/>
  <c r="N541" i="1"/>
  <c r="N539" i="1"/>
  <c r="N532" i="1"/>
  <c r="N531" i="1" s="1"/>
  <c r="N530" i="1" s="1"/>
  <c r="N527" i="1"/>
  <c r="N526" i="1" s="1"/>
  <c r="N524" i="1"/>
  <c r="N521" i="1"/>
  <c r="N519" i="1"/>
  <c r="N510" i="1"/>
  <c r="N509" i="1" s="1"/>
  <c r="N508" i="1" s="1"/>
  <c r="N507" i="1" s="1"/>
  <c r="N506" i="1" s="1"/>
  <c r="N504" i="1"/>
  <c r="N503" i="1" s="1"/>
  <c r="N499" i="1"/>
  <c r="N498" i="1" s="1"/>
  <c r="N496" i="1"/>
  <c r="N490" i="1"/>
  <c r="N489" i="1" s="1"/>
  <c r="N488" i="1" s="1"/>
  <c r="N487" i="1" s="1"/>
  <c r="N485" i="1"/>
  <c r="N484" i="1" s="1"/>
  <c r="N483" i="1" s="1"/>
  <c r="N480" i="1"/>
  <c r="N479" i="1" s="1"/>
  <c r="N478" i="1" s="1"/>
  <c r="N477" i="1" s="1"/>
  <c r="N476" i="1" s="1"/>
  <c r="N475" i="1" s="1"/>
  <c r="N474" i="1" s="1"/>
  <c r="N470" i="1"/>
  <c r="N469" i="1" s="1"/>
  <c r="N468" i="1" s="1"/>
  <c r="N467" i="1" s="1"/>
  <c r="N466" i="1" s="1"/>
  <c r="N452" i="1"/>
  <c r="N451" i="1" s="1"/>
  <c r="N450" i="1" s="1"/>
  <c r="N449" i="1" s="1"/>
  <c r="N448" i="1" s="1"/>
  <c r="N447" i="1" s="1"/>
  <c r="N444" i="1"/>
  <c r="N442" i="1"/>
  <c r="N437" i="1"/>
  <c r="N436" i="1" s="1"/>
  <c r="N435" i="1" s="1"/>
  <c r="N434" i="1" s="1"/>
  <c r="N433" i="1" s="1"/>
  <c r="N432" i="1" s="1"/>
  <c r="N419" i="1"/>
  <c r="N418" i="1"/>
  <c r="N417" i="1" s="1"/>
  <c r="N407" i="1"/>
  <c r="N406" i="1" s="1"/>
  <c r="N405" i="1" s="1"/>
  <c r="N402" i="1"/>
  <c r="N401" i="1" s="1"/>
  <c r="N392" i="1"/>
  <c r="N388" i="1"/>
  <c r="N375" i="1"/>
  <c r="N366" i="1"/>
  <c r="N364" i="1"/>
  <c r="N354" i="1"/>
  <c r="N353" i="1"/>
  <c r="N352" i="1" s="1"/>
  <c r="N344" i="1"/>
  <c r="N343" i="1" s="1"/>
  <c r="N332" i="1"/>
  <c r="N324" i="1"/>
  <c r="N322" i="1"/>
  <c r="N315" i="1"/>
  <c r="N314" i="1" s="1"/>
  <c r="N309" i="1"/>
  <c r="N308" i="1" s="1"/>
  <c r="N307" i="1" s="1"/>
  <c r="N306" i="1" s="1"/>
  <c r="N305" i="1" s="1"/>
  <c r="N299" i="1"/>
  <c r="N297" i="1"/>
  <c r="N295" i="1"/>
  <c r="N293" i="1"/>
  <c r="N278" i="1"/>
  <c r="N277" i="1" s="1"/>
  <c r="N276" i="1" s="1"/>
  <c r="N273" i="1"/>
  <c r="N270" i="1"/>
  <c r="N269" i="1"/>
  <c r="N267" i="1"/>
  <c r="N256" i="1"/>
  <c r="N254" i="1"/>
  <c r="N249" i="1"/>
  <c r="N248" i="1" s="1"/>
  <c r="N246" i="1"/>
  <c r="N245" i="1" s="1"/>
  <c r="N237" i="1"/>
  <c r="N236" i="1" s="1"/>
  <c r="N235" i="1" s="1"/>
  <c r="N221" i="1"/>
  <c r="N220" i="1" s="1"/>
  <c r="N218" i="1"/>
  <c r="N216" i="1"/>
  <c r="N213" i="1"/>
  <c r="N212" i="1"/>
  <c r="N209" i="1"/>
  <c r="N208" i="1" s="1"/>
  <c r="N204" i="1"/>
  <c r="N203" i="1" s="1"/>
  <c r="N197" i="1"/>
  <c r="N196" i="1" s="1"/>
  <c r="N195" i="1" s="1"/>
  <c r="N194" i="1" s="1"/>
  <c r="N190" i="1"/>
  <c r="N189" i="1" s="1"/>
  <c r="N188" i="1" s="1"/>
  <c r="N186" i="1"/>
  <c r="N185" i="1" s="1"/>
  <c r="N184" i="1" s="1"/>
  <c r="N183" i="1" s="1"/>
  <c r="N181" i="1"/>
  <c r="N179" i="1"/>
  <c r="N177" i="1"/>
  <c r="N175" i="1"/>
  <c r="N172" i="1"/>
  <c r="N171" i="1" s="1"/>
  <c r="N164" i="1"/>
  <c r="N163" i="1" s="1"/>
  <c r="N162" i="1" s="1"/>
  <c r="N160" i="1"/>
  <c r="N157" i="1"/>
  <c r="N155" i="1"/>
  <c r="N152" i="1"/>
  <c r="N147" i="1"/>
  <c r="N145" i="1"/>
  <c r="N138" i="1"/>
  <c r="N137" i="1"/>
  <c r="N136" i="1"/>
  <c r="N133" i="1"/>
  <c r="N124" i="1"/>
  <c r="N122" i="1"/>
  <c r="N120" i="1"/>
  <c r="N114" i="1"/>
  <c r="N112" i="1" s="1"/>
  <c r="N111" i="1" s="1"/>
  <c r="N110" i="1" s="1"/>
  <c r="N109" i="1" s="1"/>
  <c r="N108" i="1" s="1"/>
  <c r="N107" i="1" s="1"/>
  <c r="N106" i="1" s="1"/>
  <c r="N102" i="1"/>
  <c r="N100" i="1"/>
  <c r="N98" i="1"/>
  <c r="N96" i="1"/>
  <c r="N95" i="1"/>
  <c r="N91" i="1"/>
  <c r="N90" i="1" s="1"/>
  <c r="N85" i="1"/>
  <c r="N84" i="1" s="1"/>
  <c r="N83" i="1" s="1"/>
  <c r="N82" i="1" s="1"/>
  <c r="N81" i="1"/>
  <c r="N80" i="1" s="1"/>
  <c r="N78" i="1"/>
  <c r="N73" i="1"/>
  <c r="N72" i="1" s="1"/>
  <c r="N71" i="1" s="1"/>
  <c r="N69" i="1"/>
  <c r="N67" i="1"/>
  <c r="N60" i="1"/>
  <c r="N59" i="1" s="1"/>
  <c r="N58" i="1" s="1"/>
  <c r="N57" i="1" s="1"/>
  <c r="N56" i="1" s="1"/>
  <c r="N55" i="1" s="1"/>
  <c r="N53" i="1"/>
  <c r="N52" i="1" s="1"/>
  <c r="N51" i="1" s="1"/>
  <c r="N48" i="1"/>
  <c r="N47" i="1" s="1"/>
  <c r="N46" i="1" s="1"/>
  <c r="N44" i="1"/>
  <c r="N41" i="1"/>
  <c r="N38" i="1"/>
  <c r="N36" i="1"/>
  <c r="N33" i="1"/>
  <c r="N30" i="1"/>
  <c r="N27" i="1"/>
  <c r="N19" i="1"/>
  <c r="N18" i="1" s="1"/>
  <c r="N17" i="1" s="1"/>
  <c r="N16" i="1" s="1"/>
  <c r="N15" i="1" s="1"/>
  <c r="N14" i="1" s="1"/>
  <c r="N13" i="1" s="1"/>
  <c r="K854" i="1"/>
  <c r="K852" i="1"/>
  <c r="K850" i="1"/>
  <c r="K848" i="1"/>
  <c r="K845" i="1"/>
  <c r="K840" i="1"/>
  <c r="K839" i="1" s="1"/>
  <c r="K838" i="1" s="1"/>
  <c r="K837" i="1" s="1"/>
  <c r="K834" i="1"/>
  <c r="K833" i="1" s="1"/>
  <c r="K832" i="1" s="1"/>
  <c r="K825" i="1"/>
  <c r="K824" i="1" s="1"/>
  <c r="K820" i="1"/>
  <c r="K819" i="1" s="1"/>
  <c r="K816" i="1" s="1"/>
  <c r="K810" i="1"/>
  <c r="K809" i="1" s="1"/>
  <c r="K808" i="1" s="1"/>
  <c r="K807" i="1" s="1"/>
  <c r="K806" i="1" s="1"/>
  <c r="K805" i="1" s="1"/>
  <c r="K804" i="1" s="1"/>
  <c r="K802" i="1"/>
  <c r="K801" i="1" s="1"/>
  <c r="K800" i="1" s="1"/>
  <c r="K799" i="1" s="1"/>
  <c r="K798" i="1" s="1"/>
  <c r="K797" i="1" s="1"/>
  <c r="K794" i="1"/>
  <c r="K793" i="1" s="1"/>
  <c r="K792" i="1" s="1"/>
  <c r="K791" i="1" s="1"/>
  <c r="K790" i="1" s="1"/>
  <c r="K789" i="1" s="1"/>
  <c r="K788" i="1" s="1"/>
  <c r="K786" i="1"/>
  <c r="K785" i="1" s="1"/>
  <c r="K778" i="1"/>
  <c r="K776" i="1"/>
  <c r="K771" i="1"/>
  <c r="K770" i="1" s="1"/>
  <c r="K769" i="1" s="1"/>
  <c r="K768" i="1" s="1"/>
  <c r="K767" i="1" s="1"/>
  <c r="K763" i="1"/>
  <c r="K762" i="1" s="1"/>
  <c r="K760" i="1"/>
  <c r="K759" i="1" s="1"/>
  <c r="K750" i="1"/>
  <c r="K749" i="1" s="1"/>
  <c r="K745" i="1"/>
  <c r="K744" i="1" s="1"/>
  <c r="K743" i="1"/>
  <c r="K742" i="1" s="1"/>
  <c r="K741" i="1" s="1"/>
  <c r="K734" i="1"/>
  <c r="K733" i="1" s="1"/>
  <c r="K732" i="1" s="1"/>
  <c r="K731" i="1" s="1"/>
  <c r="K730" i="1" s="1"/>
  <c r="K729" i="1" s="1"/>
  <c r="K726" i="1"/>
  <c r="K725" i="1" s="1"/>
  <c r="K723" i="1"/>
  <c r="K712" i="1"/>
  <c r="K711" i="1" s="1"/>
  <c r="K710" i="1" s="1"/>
  <c r="K709" i="1" s="1"/>
  <c r="K708" i="1" s="1"/>
  <c r="K707" i="1" s="1"/>
  <c r="K699" i="1"/>
  <c r="K698" i="1" s="1"/>
  <c r="K694" i="1"/>
  <c r="K693" i="1" s="1"/>
  <c r="K691" i="1"/>
  <c r="K684" i="1"/>
  <c r="K683" i="1" s="1"/>
  <c r="K682" i="1" s="1"/>
  <c r="K681" i="1" s="1"/>
  <c r="K680" i="1" s="1"/>
  <c r="K679" i="1" s="1"/>
  <c r="K676" i="1"/>
  <c r="K674" i="1"/>
  <c r="K671" i="1"/>
  <c r="K670" i="1" s="1"/>
  <c r="K668" i="1"/>
  <c r="K666" i="1"/>
  <c r="K662" i="1"/>
  <c r="K661" i="1" s="1"/>
  <c r="K660" i="1" s="1"/>
  <c r="K654" i="1"/>
  <c r="K653" i="1" s="1"/>
  <c r="K652" i="1" s="1"/>
  <c r="K650" i="1"/>
  <c r="K648" i="1"/>
  <c r="K642" i="1"/>
  <c r="K640" i="1"/>
  <c r="K638" i="1"/>
  <c r="K634" i="1"/>
  <c r="K632" i="1"/>
  <c r="K630" i="1"/>
  <c r="K628" i="1"/>
  <c r="K626" i="1"/>
  <c r="K621" i="1"/>
  <c r="K620" i="1" s="1"/>
  <c r="K619" i="1" s="1"/>
  <c r="K618" i="1" s="1"/>
  <c r="K617" i="1" s="1"/>
  <c r="K613" i="1"/>
  <c r="K611" i="1"/>
  <c r="K574" i="1"/>
  <c r="K571" i="1"/>
  <c r="K570" i="1" s="1"/>
  <c r="K566" i="1"/>
  <c r="K565" i="1" s="1"/>
  <c r="K564" i="1" s="1"/>
  <c r="K559" i="1"/>
  <c r="K558" i="1" s="1"/>
  <c r="K556" i="1"/>
  <c r="K554" i="1"/>
  <c r="K552" i="1"/>
  <c r="K550" i="1"/>
  <c r="K548" i="1"/>
  <c r="K544" i="1"/>
  <c r="K543" i="1"/>
  <c r="K541" i="1"/>
  <c r="K539" i="1"/>
  <c r="K532" i="1"/>
  <c r="K531" i="1" s="1"/>
  <c r="K530" i="1" s="1"/>
  <c r="K527" i="1"/>
  <c r="K526" i="1" s="1"/>
  <c r="K524" i="1"/>
  <c r="K521" i="1"/>
  <c r="K519" i="1"/>
  <c r="K510" i="1"/>
  <c r="K509" i="1" s="1"/>
  <c r="K508" i="1" s="1"/>
  <c r="K507" i="1" s="1"/>
  <c r="K506" i="1" s="1"/>
  <c r="K504" i="1"/>
  <c r="K503" i="1" s="1"/>
  <c r="K499" i="1"/>
  <c r="K498" i="1" s="1"/>
  <c r="K496" i="1"/>
  <c r="K490" i="1"/>
  <c r="K489" i="1" s="1"/>
  <c r="K488" i="1" s="1"/>
  <c r="K487" i="1" s="1"/>
  <c r="K485" i="1"/>
  <c r="K484" i="1" s="1"/>
  <c r="K483" i="1" s="1"/>
  <c r="K480" i="1"/>
  <c r="K479" i="1" s="1"/>
  <c r="K478" i="1" s="1"/>
  <c r="K477" i="1" s="1"/>
  <c r="K476" i="1" s="1"/>
  <c r="K475" i="1" s="1"/>
  <c r="K474" i="1" s="1"/>
  <c r="K470" i="1"/>
  <c r="K469" i="1" s="1"/>
  <c r="K468" i="1" s="1"/>
  <c r="K467" i="1" s="1"/>
  <c r="K466" i="1" s="1"/>
  <c r="K457" i="1"/>
  <c r="K456" i="1" s="1"/>
  <c r="K455" i="1" s="1"/>
  <c r="K454" i="1" s="1"/>
  <c r="K453" i="1" s="1"/>
  <c r="K444" i="1"/>
  <c r="K442" i="1"/>
  <c r="K438" i="1"/>
  <c r="K437" i="1" s="1"/>
  <c r="K436" i="1" s="1"/>
  <c r="K435" i="1" s="1"/>
  <c r="K434" i="1" s="1"/>
  <c r="K433" i="1" s="1"/>
  <c r="K432" i="1" s="1"/>
  <c r="K419" i="1"/>
  <c r="K418" i="1"/>
  <c r="K417" i="1" s="1"/>
  <c r="K407" i="1"/>
  <c r="K406" i="1" s="1"/>
  <c r="K405" i="1" s="1"/>
  <c r="K402" i="1"/>
  <c r="K401" i="1" s="1"/>
  <c r="K395" i="1"/>
  <c r="K394" i="1" s="1"/>
  <c r="K392" i="1"/>
  <c r="K390" i="1"/>
  <c r="K388" i="1"/>
  <c r="K375" i="1"/>
  <c r="K366" i="1"/>
  <c r="K364" i="1"/>
  <c r="K354" i="1"/>
  <c r="K353" i="1"/>
  <c r="K352" i="1" s="1"/>
  <c r="K344" i="1"/>
  <c r="K343" i="1" s="1"/>
  <c r="K334" i="1"/>
  <c r="K332" i="1"/>
  <c r="K327" i="1"/>
  <c r="K326" i="1" s="1"/>
  <c r="K324" i="1"/>
  <c r="K322" i="1"/>
  <c r="K316" i="1"/>
  <c r="K315" i="1" s="1"/>
  <c r="K314" i="1" s="1"/>
  <c r="K309" i="1"/>
  <c r="K308" i="1" s="1"/>
  <c r="K307" i="1" s="1"/>
  <c r="K306" i="1" s="1"/>
  <c r="K305" i="1" s="1"/>
  <c r="K302" i="1"/>
  <c r="K301" i="1" s="1"/>
  <c r="K299" i="1"/>
  <c r="K297" i="1"/>
  <c r="K295" i="1"/>
  <c r="K293" i="1"/>
  <c r="K288" i="1"/>
  <c r="K287" i="1" s="1"/>
  <c r="K286" i="1" s="1"/>
  <c r="K285" i="1" s="1"/>
  <c r="K278" i="1"/>
  <c r="K277" i="1" s="1"/>
  <c r="K276" i="1" s="1"/>
  <c r="K273" i="1"/>
  <c r="K270" i="1"/>
  <c r="K269" i="1"/>
  <c r="K267" i="1"/>
  <c r="K256" i="1"/>
  <c r="K254" i="1"/>
  <c r="K249" i="1"/>
  <c r="K248" i="1" s="1"/>
  <c r="K246" i="1"/>
  <c r="K245" i="1" s="1"/>
  <c r="K237" i="1"/>
  <c r="K236" i="1" s="1"/>
  <c r="K225" i="1"/>
  <c r="K224" i="1" s="1"/>
  <c r="K223" i="1" s="1"/>
  <c r="K221" i="1"/>
  <c r="K220" i="1" s="1"/>
  <c r="K218" i="1"/>
  <c r="K216" i="1"/>
  <c r="K213" i="1"/>
  <c r="K212" i="1"/>
  <c r="K209" i="1"/>
  <c r="K208" i="1" s="1"/>
  <c r="K204" i="1"/>
  <c r="K203" i="1" s="1"/>
  <c r="K197" i="1"/>
  <c r="K196" i="1" s="1"/>
  <c r="K195" i="1" s="1"/>
  <c r="K194" i="1" s="1"/>
  <c r="K190" i="1"/>
  <c r="K189" i="1" s="1"/>
  <c r="K188" i="1" s="1"/>
  <c r="K186" i="1"/>
  <c r="K185" i="1" s="1"/>
  <c r="K184" i="1" s="1"/>
  <c r="K183" i="1" s="1"/>
  <c r="K181" i="1"/>
  <c r="K179" i="1"/>
  <c r="K177" i="1"/>
  <c r="K175" i="1"/>
  <c r="K172" i="1"/>
  <c r="K171" i="1" s="1"/>
  <c r="K164" i="1"/>
  <c r="K163" i="1" s="1"/>
  <c r="K162" i="1" s="1"/>
  <c r="K160" i="1"/>
  <c r="K157" i="1"/>
  <c r="K155" i="1"/>
  <c r="K152" i="1"/>
  <c r="K147" i="1"/>
  <c r="K145" i="1"/>
  <c r="K138" i="1"/>
  <c r="K137" i="1"/>
  <c r="K136" i="1"/>
  <c r="K133" i="1"/>
  <c r="K124" i="1"/>
  <c r="K122" i="1"/>
  <c r="K120" i="1"/>
  <c r="K114" i="1"/>
  <c r="K112" i="1" s="1"/>
  <c r="K111" i="1" s="1"/>
  <c r="K110" i="1" s="1"/>
  <c r="K109" i="1" s="1"/>
  <c r="K108" i="1" s="1"/>
  <c r="K107" i="1" s="1"/>
  <c r="K106" i="1" s="1"/>
  <c r="K102" i="1"/>
  <c r="K100" i="1"/>
  <c r="K98" i="1"/>
  <c r="K96" i="1"/>
  <c r="K95" i="1"/>
  <c r="K91" i="1"/>
  <c r="K85" i="1"/>
  <c r="K84" i="1" s="1"/>
  <c r="K83" i="1" s="1"/>
  <c r="K82" i="1" s="1"/>
  <c r="K81" i="1"/>
  <c r="K80" i="1" s="1"/>
  <c r="K78" i="1"/>
  <c r="K73" i="1"/>
  <c r="K72" i="1" s="1"/>
  <c r="K71" i="1" s="1"/>
  <c r="K69" i="1"/>
  <c r="K67" i="1"/>
  <c r="K66" i="1" s="1"/>
  <c r="K65" i="1" s="1"/>
  <c r="K60" i="1"/>
  <c r="K59" i="1" s="1"/>
  <c r="K58" i="1" s="1"/>
  <c r="K57" i="1" s="1"/>
  <c r="K56" i="1" s="1"/>
  <c r="K55" i="1" s="1"/>
  <c r="K53" i="1"/>
  <c r="K52" i="1" s="1"/>
  <c r="K51" i="1" s="1"/>
  <c r="K48" i="1"/>
  <c r="K47" i="1" s="1"/>
  <c r="K46" i="1" s="1"/>
  <c r="K44" i="1"/>
  <c r="K41" i="1"/>
  <c r="K38" i="1"/>
  <c r="K36" i="1"/>
  <c r="K33" i="1"/>
  <c r="K30" i="1"/>
  <c r="K19" i="1"/>
  <c r="K18" i="1" s="1"/>
  <c r="K17" i="1" s="1"/>
  <c r="K16" i="1" s="1"/>
  <c r="K15" i="1" s="1"/>
  <c r="K14" i="1" s="1"/>
  <c r="K13" i="1" s="1"/>
  <c r="E280" i="2"/>
  <c r="E279" i="2"/>
  <c r="E278" i="2" s="1"/>
  <c r="E277" i="2" s="1"/>
  <c r="E267" i="2"/>
  <c r="E266" i="2" s="1"/>
  <c r="E265" i="2" s="1"/>
  <c r="K508" i="2"/>
  <c r="K507" i="2" s="1"/>
  <c r="K506" i="2" s="1"/>
  <c r="K502" i="2"/>
  <c r="K501" i="2" s="1"/>
  <c r="K500" i="2" s="1"/>
  <c r="H502" i="2"/>
  <c r="H501" i="2" s="1"/>
  <c r="H500" i="2" s="1"/>
  <c r="H508" i="2"/>
  <c r="H507" i="2" s="1"/>
  <c r="H506" i="2" s="1"/>
  <c r="E502" i="2"/>
  <c r="E501" i="2" s="1"/>
  <c r="E500" i="2" s="1"/>
  <c r="E508" i="2"/>
  <c r="E507" i="2" s="1"/>
  <c r="E506" i="2" s="1"/>
  <c r="L508" i="2"/>
  <c r="L507" i="2" s="1"/>
  <c r="L506" i="2" s="1"/>
  <c r="I508" i="2"/>
  <c r="I507" i="2" s="1"/>
  <c r="I506" i="2" s="1"/>
  <c r="F508" i="2"/>
  <c r="F507" i="2" s="1"/>
  <c r="F506" i="2" s="1"/>
  <c r="H487" i="2"/>
  <c r="I487" i="2" s="1"/>
  <c r="I484" i="2" s="1"/>
  <c r="I483" i="2" s="1"/>
  <c r="I482" i="2" s="1"/>
  <c r="E484" i="2"/>
  <c r="E483" i="2" s="1"/>
  <c r="E482" i="2" s="1"/>
  <c r="F480" i="2"/>
  <c r="F479" i="2"/>
  <c r="F481" i="2"/>
  <c r="E478" i="2"/>
  <c r="E477" i="2" s="1"/>
  <c r="E476" i="2" s="1"/>
  <c r="F487" i="2"/>
  <c r="F484" i="2" s="1"/>
  <c r="F483" i="2" s="1"/>
  <c r="F482" i="2" s="1"/>
  <c r="L484" i="2"/>
  <c r="L483" i="2" s="1"/>
  <c r="L482" i="2" s="1"/>
  <c r="J484" i="2"/>
  <c r="J483" i="2" s="1"/>
  <c r="J482" i="2" s="1"/>
  <c r="G484" i="2"/>
  <c r="G483" i="2" s="1"/>
  <c r="G482" i="2" s="1"/>
  <c r="D420" i="2" l="1"/>
  <c r="H372" i="2"/>
  <c r="H364" i="2" s="1"/>
  <c r="E499" i="2"/>
  <c r="N379" i="1"/>
  <c r="K82" i="2"/>
  <c r="E428" i="2"/>
  <c r="H379" i="1"/>
  <c r="I379" i="1"/>
  <c r="M537" i="1"/>
  <c r="M536" i="1" s="1"/>
  <c r="M535" i="1" s="1"/>
  <c r="J379" i="1"/>
  <c r="J358" i="1" s="1"/>
  <c r="J351" i="1" s="1"/>
  <c r="G452" i="1"/>
  <c r="G451" i="1" s="1"/>
  <c r="G450" i="1" s="1"/>
  <c r="G449" i="1" s="1"/>
  <c r="G448" i="1" s="1"/>
  <c r="G447" i="1" s="1"/>
  <c r="F379" i="1"/>
  <c r="K379" i="1"/>
  <c r="L379" i="1"/>
  <c r="G420" i="2"/>
  <c r="G345" i="1"/>
  <c r="G319" i="1"/>
  <c r="G318" i="1" s="1"/>
  <c r="H499" i="2"/>
  <c r="G379" i="1"/>
  <c r="K499" i="2"/>
  <c r="K722" i="1"/>
  <c r="K721" i="1" s="1"/>
  <c r="K720" i="1" s="1"/>
  <c r="K719" i="1" s="1"/>
  <c r="K718" i="1" s="1"/>
  <c r="K404" i="1"/>
  <c r="K144" i="1"/>
  <c r="K143" i="1" s="1"/>
  <c r="M404" i="1"/>
  <c r="G404" i="1"/>
  <c r="J404" i="1"/>
  <c r="N404" i="1"/>
  <c r="N77" i="1"/>
  <c r="N76" i="1" s="1"/>
  <c r="G775" i="1"/>
  <c r="G774" i="1" s="1"/>
  <c r="G773" i="1" s="1"/>
  <c r="G766" i="1" s="1"/>
  <c r="G765" i="1" s="1"/>
  <c r="G387" i="1"/>
  <c r="J12" i="1"/>
  <c r="G252" i="1"/>
  <c r="G251" i="1" s="1"/>
  <c r="K151" i="1"/>
  <c r="K150" i="1" s="1"/>
  <c r="K149" i="1" s="1"/>
  <c r="K211" i="1"/>
  <c r="K202" i="1" s="1"/>
  <c r="K235" i="1"/>
  <c r="K319" i="1"/>
  <c r="K318" i="1" s="1"/>
  <c r="K313" i="1" s="1"/>
  <c r="K312" i="1" s="1"/>
  <c r="K311" i="1" s="1"/>
  <c r="J202" i="1"/>
  <c r="J201" i="1" s="1"/>
  <c r="J200" i="1" s="1"/>
  <c r="J199" i="1" s="1"/>
  <c r="J166" i="1" s="1"/>
  <c r="K90" i="1"/>
  <c r="K89" i="1" s="1"/>
  <c r="K88" i="1" s="1"/>
  <c r="G758" i="1"/>
  <c r="M831" i="1"/>
  <c r="M830" i="1"/>
  <c r="M829" i="1" s="1"/>
  <c r="M828" i="1" s="1"/>
  <c r="M827" i="1" s="1"/>
  <c r="J831" i="1"/>
  <c r="J830" i="1"/>
  <c r="J829" i="1" s="1"/>
  <c r="J828" i="1" s="1"/>
  <c r="J827" i="1" s="1"/>
  <c r="G831" i="1"/>
  <c r="G830" i="1"/>
  <c r="G829" i="1" s="1"/>
  <c r="G828" i="1" s="1"/>
  <c r="M11" i="1"/>
  <c r="K119" i="1"/>
  <c r="K118" i="1" s="1"/>
  <c r="K117" i="1" s="1"/>
  <c r="K116" i="1" s="1"/>
  <c r="N151" i="1"/>
  <c r="N150" i="1" s="1"/>
  <c r="N149" i="1" s="1"/>
  <c r="N244" i="1"/>
  <c r="N144" i="1"/>
  <c r="N143" i="1" s="1"/>
  <c r="N266" i="1"/>
  <c r="N265" i="1" s="1"/>
  <c r="N359" i="1"/>
  <c r="N211" i="1"/>
  <c r="N202" i="1" s="1"/>
  <c r="N201" i="1" s="1"/>
  <c r="N200" i="1" s="1"/>
  <c r="N199" i="1" s="1"/>
  <c r="N319" i="1"/>
  <c r="N318" i="1" s="1"/>
  <c r="N313" i="1" s="1"/>
  <c r="N312" i="1" s="1"/>
  <c r="N311" i="1" s="1"/>
  <c r="N253" i="1"/>
  <c r="N252" i="1" s="1"/>
  <c r="N251" i="1" s="1"/>
  <c r="N518" i="1"/>
  <c r="N517" i="1" s="1"/>
  <c r="N516" i="1" s="1"/>
  <c r="N515" i="1" s="1"/>
  <c r="N514" i="1" s="1"/>
  <c r="K292" i="1"/>
  <c r="K291" i="1" s="1"/>
  <c r="K284" i="1" s="1"/>
  <c r="K283" i="1" s="1"/>
  <c r="K518" i="1"/>
  <c r="K517" i="1" s="1"/>
  <c r="K516" i="1" s="1"/>
  <c r="K515" i="1" s="1"/>
  <c r="K514" i="1" s="1"/>
  <c r="K673" i="1"/>
  <c r="K672" i="1" s="1"/>
  <c r="K135" i="1"/>
  <c r="K132" i="1" s="1"/>
  <c r="K131" i="1" s="1"/>
  <c r="K130" i="1" s="1"/>
  <c r="K129" i="1" s="1"/>
  <c r="K174" i="1"/>
  <c r="K170" i="1" s="1"/>
  <c r="K169" i="1" s="1"/>
  <c r="K168" i="1" s="1"/>
  <c r="K167" i="1" s="1"/>
  <c r="K538" i="1"/>
  <c r="N722" i="1"/>
  <c r="N721" i="1" s="1"/>
  <c r="N720" i="1" s="1"/>
  <c r="N719" i="1" s="1"/>
  <c r="N718" i="1" s="1"/>
  <c r="N706" i="1" s="1"/>
  <c r="N387" i="1"/>
  <c r="N610" i="1"/>
  <c r="N609" i="1" s="1"/>
  <c r="N608" i="1" s="1"/>
  <c r="N607" i="1" s="1"/>
  <c r="N606" i="1" s="1"/>
  <c r="N602" i="1" s="1"/>
  <c r="N597" i="1" s="1"/>
  <c r="N647" i="1"/>
  <c r="N646" i="1" s="1"/>
  <c r="K253" i="1"/>
  <c r="K252" i="1" s="1"/>
  <c r="K251" i="1" s="1"/>
  <c r="K441" i="1"/>
  <c r="K440" i="1" s="1"/>
  <c r="K495" i="1"/>
  <c r="K494" i="1" s="1"/>
  <c r="K493" i="1" s="1"/>
  <c r="K492" i="1" s="1"/>
  <c r="K547" i="1"/>
  <c r="K610" i="1"/>
  <c r="K609" i="1" s="1"/>
  <c r="K608" i="1" s="1"/>
  <c r="K607" i="1" s="1"/>
  <c r="K606" i="1" s="1"/>
  <c r="K602" i="1" s="1"/>
  <c r="K647" i="1"/>
  <c r="K646" i="1" s="1"/>
  <c r="K775" i="1"/>
  <c r="K774" i="1" s="1"/>
  <c r="K773" i="1" s="1"/>
  <c r="K766" i="1" s="1"/>
  <c r="K765" i="1" s="1"/>
  <c r="N441" i="1"/>
  <c r="N440" i="1" s="1"/>
  <c r="N547" i="1"/>
  <c r="K29" i="1"/>
  <c r="K28" i="1" s="1"/>
  <c r="K22" i="1" s="1"/>
  <c r="K21" i="1" s="1"/>
  <c r="K20" i="1" s="1"/>
  <c r="K359" i="1"/>
  <c r="N29" i="1"/>
  <c r="N28" i="1" s="1"/>
  <c r="K625" i="1"/>
  <c r="K624" i="1" s="1"/>
  <c r="K844" i="1"/>
  <c r="K843" i="1" s="1"/>
  <c r="K842" i="1" s="1"/>
  <c r="N89" i="1"/>
  <c r="N88" i="1" s="1"/>
  <c r="K77" i="1"/>
  <c r="K76" i="1" s="1"/>
  <c r="K64" i="1" s="1"/>
  <c r="K63" i="1" s="1"/>
  <c r="K266" i="1"/>
  <c r="K265" i="1" s="1"/>
  <c r="K387" i="1"/>
  <c r="K452" i="1"/>
  <c r="K451" i="1" s="1"/>
  <c r="K450" i="1" s="1"/>
  <c r="K449" i="1" s="1"/>
  <c r="K448" i="1" s="1"/>
  <c r="K447" i="1" s="1"/>
  <c r="K569" i="1"/>
  <c r="K568" i="1" s="1"/>
  <c r="K637" i="1"/>
  <c r="K636" i="1" s="1"/>
  <c r="K665" i="1"/>
  <c r="K664" i="1" s="1"/>
  <c r="K758" i="1"/>
  <c r="K756" i="1" s="1"/>
  <c r="K755" i="1" s="1"/>
  <c r="K754" i="1" s="1"/>
  <c r="K753" i="1" s="1"/>
  <c r="N775" i="1"/>
  <c r="N774" i="1" s="1"/>
  <c r="N773" i="1" s="1"/>
  <c r="N766" i="1" s="1"/>
  <c r="N765" i="1" s="1"/>
  <c r="K244" i="1"/>
  <c r="N637" i="1"/>
  <c r="N636" i="1" s="1"/>
  <c r="N135" i="1"/>
  <c r="N132" i="1" s="1"/>
  <c r="N131" i="1" s="1"/>
  <c r="N130" i="1" s="1"/>
  <c r="N129" i="1" s="1"/>
  <c r="N174" i="1"/>
  <c r="N170" i="1" s="1"/>
  <c r="N169" i="1" s="1"/>
  <c r="N168" i="1" s="1"/>
  <c r="N167" i="1" s="1"/>
  <c r="N844" i="1"/>
  <c r="N843" i="1" s="1"/>
  <c r="N842" i="1" s="1"/>
  <c r="N740" i="1"/>
  <c r="N739" i="1" s="1"/>
  <c r="N738" i="1" s="1"/>
  <c r="N737" i="1" s="1"/>
  <c r="K690" i="1"/>
  <c r="K689" i="1" s="1"/>
  <c r="K688" i="1" s="1"/>
  <c r="K687" i="1" s="1"/>
  <c r="K686" i="1" s="1"/>
  <c r="N495" i="1"/>
  <c r="N494" i="1" s="1"/>
  <c r="N493" i="1" s="1"/>
  <c r="N492" i="1" s="1"/>
  <c r="N625" i="1"/>
  <c r="N624" i="1" s="1"/>
  <c r="N816" i="1"/>
  <c r="N815" i="1" s="1"/>
  <c r="N814" i="1" s="1"/>
  <c r="N813" i="1" s="1"/>
  <c r="N812" i="1" s="1"/>
  <c r="K482" i="1"/>
  <c r="K481" i="1" s="1"/>
  <c r="N538" i="1"/>
  <c r="N25" i="1"/>
  <c r="N24" i="1" s="1"/>
  <c r="N23" i="1" s="1"/>
  <c r="N665" i="1"/>
  <c r="N664" i="1" s="1"/>
  <c r="N673" i="1"/>
  <c r="N672" i="1" s="1"/>
  <c r="N66" i="1"/>
  <c r="N65" i="1" s="1"/>
  <c r="N292" i="1"/>
  <c r="N291" i="1" s="1"/>
  <c r="N284" i="1" s="1"/>
  <c r="N283" i="1" s="1"/>
  <c r="N193" i="1"/>
  <c r="N192" i="1"/>
  <c r="N831" i="1"/>
  <c r="N830" i="1"/>
  <c r="N829" i="1" s="1"/>
  <c r="N482" i="1"/>
  <c r="N481" i="1" s="1"/>
  <c r="N690" i="1"/>
  <c r="N689" i="1" s="1"/>
  <c r="N688" i="1" s="1"/>
  <c r="N687" i="1" s="1"/>
  <c r="N686" i="1" s="1"/>
  <c r="N119" i="1"/>
  <c r="N118" i="1" s="1"/>
  <c r="N117" i="1" s="1"/>
  <c r="N116" i="1" s="1"/>
  <c r="K830" i="1"/>
  <c r="K829" i="1" s="1"/>
  <c r="K831" i="1"/>
  <c r="K192" i="1"/>
  <c r="K193" i="1"/>
  <c r="K706" i="1"/>
  <c r="K815" i="1"/>
  <c r="K814" i="1" s="1"/>
  <c r="K813" i="1" s="1"/>
  <c r="K812" i="1" s="1"/>
  <c r="H484" i="2"/>
  <c r="H483" i="2" s="1"/>
  <c r="H482" i="2" s="1"/>
  <c r="E455" i="2"/>
  <c r="M534" i="1" l="1"/>
  <c r="M513" i="1" s="1"/>
  <c r="M512" i="1" s="1"/>
  <c r="M856" i="1" s="1"/>
  <c r="J350" i="1"/>
  <c r="J349" i="1" s="1"/>
  <c r="J282" i="1" s="1"/>
  <c r="J11" i="1" s="1"/>
  <c r="J856" i="1" s="1"/>
  <c r="N537" i="1"/>
  <c r="N536" i="1" s="1"/>
  <c r="K142" i="1"/>
  <c r="K141" i="1" s="1"/>
  <c r="K140" i="1" s="1"/>
  <c r="G358" i="1"/>
  <c r="K537" i="1"/>
  <c r="K536" i="1" s="1"/>
  <c r="N64" i="1"/>
  <c r="N63" i="1" s="1"/>
  <c r="N62" i="1" s="1"/>
  <c r="K740" i="1"/>
  <c r="K739" i="1" s="1"/>
  <c r="K738" i="1" s="1"/>
  <c r="K737" i="1" s="1"/>
  <c r="K736" i="1" s="1"/>
  <c r="K705" i="1" s="1"/>
  <c r="K659" i="1"/>
  <c r="K658" i="1" s="1"/>
  <c r="K657" i="1" s="1"/>
  <c r="K656" i="1" s="1"/>
  <c r="N473" i="1"/>
  <c r="K201" i="1"/>
  <c r="K200" i="1" s="1"/>
  <c r="K199" i="1" s="1"/>
  <c r="K62" i="1"/>
  <c r="K12" i="1" s="1"/>
  <c r="K623" i="1"/>
  <c r="K616" i="1" s="1"/>
  <c r="K615" i="1" s="1"/>
  <c r="K358" i="1"/>
  <c r="K351" i="1" s="1"/>
  <c r="K350" i="1" s="1"/>
  <c r="K349" i="1" s="1"/>
  <c r="K282" i="1" s="1"/>
  <c r="N623" i="1"/>
  <c r="N616" i="1" s="1"/>
  <c r="N615" i="1" s="1"/>
  <c r="N22" i="1"/>
  <c r="N21" i="1" s="1"/>
  <c r="N20" i="1" s="1"/>
  <c r="N358" i="1"/>
  <c r="N351" i="1" s="1"/>
  <c r="N350" i="1" s="1"/>
  <c r="N349" i="1" s="1"/>
  <c r="N282" i="1" s="1"/>
  <c r="K473" i="1"/>
  <c r="K115" i="1"/>
  <c r="N142" i="1"/>
  <c r="N141" i="1" s="1"/>
  <c r="N140" i="1" s="1"/>
  <c r="N115" i="1" s="1"/>
  <c r="N243" i="1"/>
  <c r="N242" i="1" s="1"/>
  <c r="N166" i="1" s="1"/>
  <c r="N659" i="1"/>
  <c r="N658" i="1" s="1"/>
  <c r="N657" i="1" s="1"/>
  <c r="N656" i="1" s="1"/>
  <c r="N828" i="1"/>
  <c r="N827" i="1" s="1"/>
  <c r="K828" i="1"/>
  <c r="K827" i="1" s="1"/>
  <c r="K243" i="1"/>
  <c r="K242" i="1" s="1"/>
  <c r="N736" i="1"/>
  <c r="N705" i="1" s="1"/>
  <c r="K535" i="1" l="1"/>
  <c r="K534" i="1" s="1"/>
  <c r="K513" i="1" s="1"/>
  <c r="K512" i="1" s="1"/>
  <c r="N535" i="1"/>
  <c r="N534" i="1" s="1"/>
  <c r="N513" i="1" s="1"/>
  <c r="N512" i="1" s="1"/>
  <c r="K166" i="1"/>
  <c r="K11" i="1" s="1"/>
  <c r="N12" i="1"/>
  <c r="N11" i="1" s="1"/>
  <c r="K856" i="1" l="1"/>
  <c r="N856" i="1"/>
  <c r="E408" i="2" l="1"/>
  <c r="E407" i="2" s="1"/>
  <c r="F526" i="2"/>
  <c r="I481" i="2"/>
  <c r="H478" i="2"/>
  <c r="H477" i="2" s="1"/>
  <c r="H476" i="2" s="1"/>
  <c r="K66" i="2"/>
  <c r="K65" i="2" s="1"/>
  <c r="E24" i="2"/>
  <c r="E23" i="2" s="1"/>
  <c r="H24" i="2"/>
  <c r="H23" i="2" s="1"/>
  <c r="H16" i="2" s="1"/>
  <c r="K24" i="2"/>
  <c r="K23" i="2" s="1"/>
  <c r="K16" i="2" s="1"/>
  <c r="E83" i="2"/>
  <c r="E82" i="2" s="1"/>
  <c r="H83" i="2"/>
  <c r="H82" i="2" s="1"/>
  <c r="E66" i="2"/>
  <c r="E65" i="2" s="1"/>
  <c r="H66" i="2"/>
  <c r="H65" i="2" s="1"/>
  <c r="K562" i="2"/>
  <c r="K561" i="2" s="1"/>
  <c r="H562" i="2"/>
  <c r="K15" i="2"/>
  <c r="K14" i="2"/>
  <c r="K13" i="2"/>
  <c r="K12" i="2"/>
  <c r="H15" i="2"/>
  <c r="H14" i="2"/>
  <c r="H13" i="2"/>
  <c r="H12" i="2"/>
  <c r="E525" i="2"/>
  <c r="E518" i="2" s="1"/>
  <c r="E517" i="2" s="1"/>
  <c r="H525" i="2"/>
  <c r="H518" i="2" s="1"/>
  <c r="H517" i="2" s="1"/>
  <c r="K525" i="2"/>
  <c r="K518" i="2" s="1"/>
  <c r="K517" i="2" s="1"/>
  <c r="I526" i="2"/>
  <c r="L526" i="2"/>
  <c r="F614" i="2"/>
  <c r="E613" i="2"/>
  <c r="E562" i="2"/>
  <c r="E611" i="2"/>
  <c r="H586" i="2"/>
  <c r="H570" i="2" s="1"/>
  <c r="I588" i="2"/>
  <c r="F588" i="2"/>
  <c r="E586" i="2"/>
  <c r="H469" i="2"/>
  <c r="H464" i="2" s="1"/>
  <c r="I497" i="2"/>
  <c r="I496" i="2" s="1"/>
  <c r="I492" i="2" s="1"/>
  <c r="H497" i="2"/>
  <c r="H496" i="2" s="1"/>
  <c r="H492" i="2" s="1"/>
  <c r="F497" i="2"/>
  <c r="F496" i="2" s="1"/>
  <c r="E497" i="2"/>
  <c r="E496" i="2" s="1"/>
  <c r="E492" i="2" s="1"/>
  <c r="D496" i="2"/>
  <c r="E570" i="2" l="1"/>
  <c r="H455" i="2"/>
  <c r="H454" i="2" s="1"/>
  <c r="H561" i="2"/>
  <c r="H64" i="2"/>
  <c r="H11" i="2" l="1"/>
  <c r="H618" i="2" s="1"/>
  <c r="K455" i="2" l="1"/>
  <c r="K454" i="2" s="1"/>
  <c r="F426" i="2"/>
  <c r="F425" i="2" s="1"/>
  <c r="E426" i="2"/>
  <c r="E425" i="2" s="1"/>
  <c r="E422" i="2"/>
  <c r="E421" i="2" s="1"/>
  <c r="F409" i="2"/>
  <c r="F410" i="2"/>
  <c r="L422" i="2"/>
  <c r="L421" i="2" s="1"/>
  <c r="L420" i="2" s="1"/>
  <c r="J422" i="2"/>
  <c r="J421" i="2" s="1"/>
  <c r="J420" i="2" s="1"/>
  <c r="I422" i="2"/>
  <c r="I421" i="2" s="1"/>
  <c r="I420" i="2" s="1"/>
  <c r="F422" i="2"/>
  <c r="F421" i="2" s="1"/>
  <c r="F420" i="2" s="1"/>
  <c r="E405" i="2"/>
  <c r="F406" i="2"/>
  <c r="E396" i="2"/>
  <c r="F397" i="2"/>
  <c r="F379" i="2"/>
  <c r="E378" i="2"/>
  <c r="E391" i="2"/>
  <c r="E373" i="2" l="1"/>
  <c r="E393" i="2"/>
  <c r="E420" i="2"/>
  <c r="E348" i="2"/>
  <c r="E347" i="2" s="1"/>
  <c r="D347" i="2"/>
  <c r="E345" i="2"/>
  <c r="E344" i="2" s="1"/>
  <c r="F346" i="2"/>
  <c r="E288" i="2"/>
  <c r="E287" i="2" s="1"/>
  <c r="E285" i="2"/>
  <c r="E284" i="2" s="1"/>
  <c r="E294" i="2"/>
  <c r="E291" i="2" s="1"/>
  <c r="E290" i="2" s="1"/>
  <c r="E251" i="2"/>
  <c r="F252" i="2"/>
  <c r="F258" i="2"/>
  <c r="E258" i="2"/>
  <c r="E255" i="2"/>
  <c r="F257" i="2"/>
  <c r="E240" i="2"/>
  <c r="E239" i="2" s="1"/>
  <c r="F241" i="2"/>
  <c r="L169" i="2"/>
  <c r="L168" i="2" s="1"/>
  <c r="K169" i="2"/>
  <c r="K168" i="2" s="1"/>
  <c r="K158" i="2" l="1"/>
  <c r="K157" i="2" s="1"/>
  <c r="K64" i="2" s="1"/>
  <c r="K11" i="2" s="1"/>
  <c r="E372" i="2"/>
  <c r="E364" i="2" s="1"/>
  <c r="E338" i="2"/>
  <c r="E337" i="2" s="1"/>
  <c r="E250" i="2"/>
  <c r="E283" i="2"/>
  <c r="L28" i="2"/>
  <c r="I28" i="2"/>
  <c r="I27" i="2" s="1"/>
  <c r="L605" i="2"/>
  <c r="L603" i="2"/>
  <c r="L601" i="2"/>
  <c r="L599" i="2"/>
  <c r="L597" i="2"/>
  <c r="L595" i="2"/>
  <c r="L593" i="2"/>
  <c r="L587" i="2"/>
  <c r="L586" i="2" s="1"/>
  <c r="L584" i="2"/>
  <c r="L583" i="2"/>
  <c r="L582" i="2" s="1"/>
  <c r="L580" i="2"/>
  <c r="L578" i="2"/>
  <c r="L575" i="2"/>
  <c r="L571" i="2"/>
  <c r="L566" i="2"/>
  <c r="L565" i="2" s="1"/>
  <c r="L563" i="2"/>
  <c r="L559" i="2"/>
  <c r="L558" i="2" s="1"/>
  <c r="L555" i="2"/>
  <c r="L554" i="2" s="1"/>
  <c r="L552" i="2"/>
  <c r="L546" i="2"/>
  <c r="L542" i="2"/>
  <c r="L537" i="2"/>
  <c r="L536" i="2" s="1"/>
  <c r="L534" i="2"/>
  <c r="L533" i="2"/>
  <c r="L532" i="2"/>
  <c r="L530" i="2"/>
  <c r="L529" i="2" s="1"/>
  <c r="L525" i="2"/>
  <c r="L523" i="2"/>
  <c r="L521" i="2"/>
  <c r="L519" i="2"/>
  <c r="L514" i="2"/>
  <c r="L513" i="2" s="1"/>
  <c r="L512" i="2" s="1"/>
  <c r="L502" i="2"/>
  <c r="L501" i="2" s="1"/>
  <c r="L500" i="2" s="1"/>
  <c r="L490" i="2"/>
  <c r="L489" i="2" s="1"/>
  <c r="L488" i="2" s="1"/>
  <c r="L478" i="2"/>
  <c r="L477" i="2" s="1"/>
  <c r="L476" i="2" s="1"/>
  <c r="L474" i="2"/>
  <c r="L473" i="2" s="1"/>
  <c r="L471" i="2"/>
  <c r="L469" i="2"/>
  <c r="L466" i="2"/>
  <c r="L465" i="2" s="1"/>
  <c r="L464" i="2" s="1"/>
  <c r="L457" i="2"/>
  <c r="L456" i="2" s="1"/>
  <c r="L445" i="2"/>
  <c r="L443" i="2"/>
  <c r="L438" i="2"/>
  <c r="L437" i="2" s="1"/>
  <c r="L435" i="2"/>
  <c r="L433" i="2"/>
  <c r="L430" i="2"/>
  <c r="L418" i="2"/>
  <c r="L417" i="2" s="1"/>
  <c r="L416" i="2"/>
  <c r="L415" i="2" s="1"/>
  <c r="L414" i="2" s="1"/>
  <c r="L408" i="2"/>
  <c r="L407" i="2" s="1"/>
  <c r="L405" i="2"/>
  <c r="L403" i="2"/>
  <c r="L400" i="2"/>
  <c r="L398" i="2"/>
  <c r="L396" i="2"/>
  <c r="L394" i="2"/>
  <c r="L382" i="2"/>
  <c r="L381" i="2"/>
  <c r="L380" i="2" s="1"/>
  <c r="L379" i="2"/>
  <c r="L378" i="2" s="1"/>
  <c r="L368" i="2"/>
  <c r="L367" i="2" s="1"/>
  <c r="L366" i="2" s="1"/>
  <c r="L365" i="2" s="1"/>
  <c r="L362" i="2"/>
  <c r="L360" i="2"/>
  <c r="L358" i="2"/>
  <c r="L356" i="2"/>
  <c r="L353" i="2"/>
  <c r="L352" i="2" s="1"/>
  <c r="L345" i="2"/>
  <c r="L344" i="2" s="1"/>
  <c r="L342" i="2"/>
  <c r="L340" i="2"/>
  <c r="L335" i="2"/>
  <c r="L332" i="2"/>
  <c r="L328" i="2"/>
  <c r="L327" i="2" s="1"/>
  <c r="L323" i="2"/>
  <c r="L321" i="2"/>
  <c r="L316" i="2"/>
  <c r="L313" i="2"/>
  <c r="L312" i="2" s="1"/>
  <c r="L307" i="2"/>
  <c r="L306" i="2" s="1"/>
  <c r="L304" i="2"/>
  <c r="L300" i="2"/>
  <c r="L299" i="2" s="1"/>
  <c r="L298" i="2" s="1"/>
  <c r="L295" i="2"/>
  <c r="L294" i="2" s="1"/>
  <c r="L292" i="2"/>
  <c r="L289" i="2"/>
  <c r="L288" i="2" s="1"/>
  <c r="L287" i="2" s="1"/>
  <c r="L286" i="2"/>
  <c r="L285" i="2" s="1"/>
  <c r="L284" i="2" s="1"/>
  <c r="L262" i="2"/>
  <c r="L261" i="2" s="1"/>
  <c r="L258" i="2" s="1"/>
  <c r="L255" i="2"/>
  <c r="L253" i="2"/>
  <c r="L251" i="2"/>
  <c r="L248" i="2"/>
  <c r="L247" i="2" s="1"/>
  <c r="L245" i="2"/>
  <c r="L244" i="2" s="1"/>
  <c r="L243" i="2"/>
  <c r="L242" i="2" s="1"/>
  <c r="L240" i="2"/>
  <c r="L238" i="2"/>
  <c r="L237" i="2" s="1"/>
  <c r="L236" i="2" s="1"/>
  <c r="L232" i="2"/>
  <c r="L231" i="2" s="1"/>
  <c r="L228" i="2"/>
  <c r="L227" i="2" s="1"/>
  <c r="L225" i="2"/>
  <c r="L223" i="2"/>
  <c r="L220" i="2"/>
  <c r="L218" i="2"/>
  <c r="L216" i="2"/>
  <c r="L207" i="2"/>
  <c r="L204" i="2"/>
  <c r="L202" i="2"/>
  <c r="L200" i="2"/>
  <c r="L195" i="2"/>
  <c r="L194" i="2" s="1"/>
  <c r="L192" i="2"/>
  <c r="L188" i="2"/>
  <c r="L187" i="2" s="1"/>
  <c r="L186" i="2" s="1"/>
  <c r="L163" i="2"/>
  <c r="L160" i="2"/>
  <c r="L159" i="2" s="1"/>
  <c r="L158" i="2" s="1"/>
  <c r="L154" i="2"/>
  <c r="L151" i="2"/>
  <c r="L148" i="2"/>
  <c r="L146" i="2"/>
  <c r="L140" i="2"/>
  <c r="L138" i="2"/>
  <c r="L136" i="2"/>
  <c r="L132" i="2"/>
  <c r="L130" i="2"/>
  <c r="L128" i="2"/>
  <c r="L126" i="2"/>
  <c r="L124" i="2"/>
  <c r="L122" i="2"/>
  <c r="L121" i="2"/>
  <c r="L120" i="2" s="1"/>
  <c r="L113" i="2"/>
  <c r="L112" i="2" s="1"/>
  <c r="L110" i="2"/>
  <c r="L109" i="2" s="1"/>
  <c r="L107" i="2"/>
  <c r="L105" i="2"/>
  <c r="L103" i="2"/>
  <c r="L101" i="2"/>
  <c r="L99" i="2"/>
  <c r="L97" i="2"/>
  <c r="L96" i="2"/>
  <c r="L95" i="2" s="1"/>
  <c r="L93" i="2"/>
  <c r="L89" i="2"/>
  <c r="L88" i="2" s="1"/>
  <c r="L86" i="2"/>
  <c r="L84" i="2"/>
  <c r="L76" i="2"/>
  <c r="L74" i="2"/>
  <c r="L72" i="2"/>
  <c r="L69" i="2"/>
  <c r="L67" i="2"/>
  <c r="L63" i="2"/>
  <c r="L62" i="2"/>
  <c r="L60" i="2"/>
  <c r="L57" i="2"/>
  <c r="L55" i="2" s="1"/>
  <c r="L52" i="2"/>
  <c r="L50" i="2"/>
  <c r="L48" i="2"/>
  <c r="L45" i="2"/>
  <c r="L42" i="2"/>
  <c r="L40" i="2"/>
  <c r="L37" i="2"/>
  <c r="L34" i="2"/>
  <c r="L31" i="2"/>
  <c r="L30" i="2" s="1"/>
  <c r="L29" i="2"/>
  <c r="L26" i="2"/>
  <c r="L25" i="2" s="1"/>
  <c r="L21" i="2"/>
  <c r="L19" i="2"/>
  <c r="L15" i="2"/>
  <c r="I605" i="2"/>
  <c r="I603" i="2"/>
  <c r="I601" i="2"/>
  <c r="I599" i="2"/>
  <c r="I597" i="2"/>
  <c r="I595" i="2"/>
  <c r="I593" i="2"/>
  <c r="I587" i="2"/>
  <c r="I586" i="2" s="1"/>
  <c r="I584" i="2"/>
  <c r="I583" i="2"/>
  <c r="I582" i="2" s="1"/>
  <c r="I580" i="2"/>
  <c r="I578" i="2"/>
  <c r="I575" i="2"/>
  <c r="I571" i="2"/>
  <c r="I566" i="2"/>
  <c r="I565" i="2" s="1"/>
  <c r="I563" i="2"/>
  <c r="I559" i="2"/>
  <c r="I558" i="2" s="1"/>
  <c r="I555" i="2"/>
  <c r="I554" i="2" s="1"/>
  <c r="I552" i="2"/>
  <c r="I546" i="2"/>
  <c r="I542" i="2"/>
  <c r="I537" i="2"/>
  <c r="I536" i="2" s="1"/>
  <c r="I534" i="2"/>
  <c r="I533" i="2"/>
  <c r="I532" i="2"/>
  <c r="I530" i="2"/>
  <c r="I529" i="2" s="1"/>
  <c r="I525" i="2"/>
  <c r="I523" i="2"/>
  <c r="I521" i="2"/>
  <c r="I519" i="2"/>
  <c r="I514" i="2"/>
  <c r="I513" i="2" s="1"/>
  <c r="I512" i="2" s="1"/>
  <c r="I502" i="2"/>
  <c r="I501" i="2" s="1"/>
  <c r="I500" i="2" s="1"/>
  <c r="I490" i="2"/>
  <c r="I489" i="2" s="1"/>
  <c r="I488" i="2" s="1"/>
  <c r="I478" i="2"/>
  <c r="I477" i="2" s="1"/>
  <c r="I476" i="2" s="1"/>
  <c r="I474" i="2"/>
  <c r="I473" i="2" s="1"/>
  <c r="I471" i="2"/>
  <c r="I469" i="2"/>
  <c r="I466" i="2"/>
  <c r="I465" i="2" s="1"/>
  <c r="I457" i="2"/>
  <c r="I456" i="2" s="1"/>
  <c r="I445" i="2"/>
  <c r="I443" i="2"/>
  <c r="I438" i="2"/>
  <c r="I437" i="2" s="1"/>
  <c r="I435" i="2"/>
  <c r="I433" i="2"/>
  <c r="I430" i="2"/>
  <c r="I418" i="2"/>
  <c r="I417" i="2" s="1"/>
  <c r="I416" i="2"/>
  <c r="I415" i="2" s="1"/>
  <c r="I414" i="2" s="1"/>
  <c r="I408" i="2"/>
  <c r="I407" i="2" s="1"/>
  <c r="I405" i="2"/>
  <c r="I403" i="2"/>
  <c r="I398" i="2"/>
  <c r="I396" i="2"/>
  <c r="I394" i="2"/>
  <c r="I382" i="2"/>
  <c r="I381" i="2"/>
  <c r="I380" i="2" s="1"/>
  <c r="I379" i="2"/>
  <c r="I378" i="2" s="1"/>
  <c r="I368" i="2"/>
  <c r="I367" i="2" s="1"/>
  <c r="I366" i="2" s="1"/>
  <c r="I365" i="2" s="1"/>
  <c r="I362" i="2"/>
  <c r="I360" i="2"/>
  <c r="I358" i="2"/>
  <c r="I356" i="2"/>
  <c r="I353" i="2"/>
  <c r="I352" i="2" s="1"/>
  <c r="I345" i="2"/>
  <c r="I344" i="2" s="1"/>
  <c r="I342" i="2"/>
  <c r="I340" i="2"/>
  <c r="I335" i="2"/>
  <c r="I332" i="2"/>
  <c r="I328" i="2"/>
  <c r="I327" i="2" s="1"/>
  <c r="I323" i="2"/>
  <c r="I321" i="2"/>
  <c r="I316" i="2"/>
  <c r="I313" i="2"/>
  <c r="I312" i="2" s="1"/>
  <c r="I307" i="2"/>
  <c r="I306" i="2" s="1"/>
  <c r="I305" i="2"/>
  <c r="I304" i="2" s="1"/>
  <c r="I300" i="2"/>
  <c r="I299" i="2" s="1"/>
  <c r="I298" i="2" s="1"/>
  <c r="I295" i="2"/>
  <c r="I294" i="2" s="1"/>
  <c r="I293" i="2"/>
  <c r="I292" i="2" s="1"/>
  <c r="I288" i="2"/>
  <c r="I287" i="2" s="1"/>
  <c r="I285" i="2"/>
  <c r="I284" i="2" s="1"/>
  <c r="I264" i="2"/>
  <c r="I262" i="2"/>
  <c r="I261" i="2" s="1"/>
  <c r="I258" i="2" s="1"/>
  <c r="I255" i="2"/>
  <c r="I254" i="2"/>
  <c r="I253" i="2" s="1"/>
  <c r="I252" i="2"/>
  <c r="I251" i="2" s="1"/>
  <c r="I248" i="2"/>
  <c r="I247" i="2" s="1"/>
  <c r="I245" i="2"/>
  <c r="I244" i="2" s="1"/>
  <c r="I243" i="2"/>
  <c r="I242" i="2" s="1"/>
  <c r="I240" i="2"/>
  <c r="I238" i="2"/>
  <c r="I237" i="2" s="1"/>
  <c r="I236" i="2" s="1"/>
  <c r="I232" i="2"/>
  <c r="I231" i="2" s="1"/>
  <c r="I228" i="2"/>
  <c r="I227" i="2" s="1"/>
  <c r="I226" i="2"/>
  <c r="I225" i="2" s="1"/>
  <c r="I223" i="2"/>
  <c r="I221" i="2"/>
  <c r="I220" i="2" s="1"/>
  <c r="I218" i="2"/>
  <c r="I216" i="2"/>
  <c r="I209" i="2"/>
  <c r="I208" i="2" s="1"/>
  <c r="I207" i="2" s="1"/>
  <c r="I204" i="2"/>
  <c r="I202" i="2"/>
  <c r="I200" i="2"/>
  <c r="I195" i="2"/>
  <c r="I194" i="2" s="1"/>
  <c r="I192" i="2"/>
  <c r="I188" i="2"/>
  <c r="I187" i="2" s="1"/>
  <c r="I186" i="2" s="1"/>
  <c r="I163" i="2"/>
  <c r="I160" i="2"/>
  <c r="I159" i="2" s="1"/>
  <c r="I158" i="2" s="1"/>
  <c r="I154" i="2"/>
  <c r="I151" i="2"/>
  <c r="I148" i="2"/>
  <c r="I146" i="2"/>
  <c r="I140" i="2"/>
  <c r="I138" i="2"/>
  <c r="I136" i="2"/>
  <c r="I132" i="2"/>
  <c r="I130" i="2"/>
  <c r="I128" i="2"/>
  <c r="I126" i="2"/>
  <c r="I124" i="2"/>
  <c r="I122" i="2"/>
  <c r="I121" i="2"/>
  <c r="I120" i="2" s="1"/>
  <c r="I113" i="2"/>
  <c r="I112" i="2" s="1"/>
  <c r="I110" i="2"/>
  <c r="I109" i="2" s="1"/>
  <c r="I107" i="2"/>
  <c r="I105" i="2"/>
  <c r="I103" i="2"/>
  <c r="I101" i="2"/>
  <c r="I99" i="2"/>
  <c r="I97" i="2"/>
  <c r="I96" i="2"/>
  <c r="I95" i="2" s="1"/>
  <c r="I93" i="2"/>
  <c r="I89" i="2"/>
  <c r="I88" i="2" s="1"/>
  <c r="I86" i="2"/>
  <c r="I84" i="2"/>
  <c r="I76" i="2"/>
  <c r="I74" i="2"/>
  <c r="I72" i="2"/>
  <c r="I69" i="2"/>
  <c r="I67" i="2"/>
  <c r="I63" i="2"/>
  <c r="I62" i="2" s="1"/>
  <c r="I60" i="2"/>
  <c r="I57" i="2"/>
  <c r="I55" i="2" s="1"/>
  <c r="I52" i="2"/>
  <c r="I50" i="2"/>
  <c r="I48" i="2"/>
  <c r="I45" i="2"/>
  <c r="I42" i="2"/>
  <c r="I40" i="2"/>
  <c r="I37" i="2"/>
  <c r="I34" i="2"/>
  <c r="I31" i="2"/>
  <c r="I30" i="2" s="1"/>
  <c r="I26" i="2"/>
  <c r="I25" i="2" s="1"/>
  <c r="I21" i="2"/>
  <c r="I20" i="2"/>
  <c r="I19" i="2" s="1"/>
  <c r="I15" i="2"/>
  <c r="F28" i="2"/>
  <c r="F615" i="2"/>
  <c r="L320" i="2" l="1"/>
  <c r="L319" i="2" s="1"/>
  <c r="I339" i="2"/>
  <c r="L339" i="2"/>
  <c r="L303" i="2"/>
  <c r="I464" i="2"/>
  <c r="I455" i="2" s="1"/>
  <c r="I454" i="2" s="1"/>
  <c r="I83" i="2"/>
  <c r="L83" i="2"/>
  <c r="L250" i="2"/>
  <c r="L499" i="2"/>
  <c r="I499" i="2"/>
  <c r="L12" i="2"/>
  <c r="L562" i="2"/>
  <c r="I191" i="2"/>
  <c r="L157" i="2"/>
  <c r="L239" i="2"/>
  <c r="I320" i="2"/>
  <c r="I319" i="2" s="1"/>
  <c r="L145" i="2"/>
  <c r="I66" i="2"/>
  <c r="I65" i="2" s="1"/>
  <c r="I355" i="2"/>
  <c r="L33" i="2"/>
  <c r="L32" i="2" s="1"/>
  <c r="L119" i="2"/>
  <c r="L118" i="2" s="1"/>
  <c r="L429" i="2"/>
  <c r="L428" i="2" s="1"/>
  <c r="L518" i="2"/>
  <c r="L18" i="2"/>
  <c r="L17" i="2" s="1"/>
  <c r="L59" i="2"/>
  <c r="L58" i="2" s="1"/>
  <c r="L27" i="2"/>
  <c r="I150" i="2"/>
  <c r="I311" i="2"/>
  <c r="I429" i="2"/>
  <c r="I428" i="2" s="1"/>
  <c r="I518" i="2"/>
  <c r="L66" i="2"/>
  <c r="L65" i="2" s="1"/>
  <c r="L92" i="2"/>
  <c r="L541" i="2"/>
  <c r="L540" i="2" s="1"/>
  <c r="L570" i="2"/>
  <c r="I12" i="2"/>
  <c r="I338" i="2"/>
  <c r="L13" i="2"/>
  <c r="L283" i="2"/>
  <c r="L393" i="2"/>
  <c r="L551" i="2"/>
  <c r="L550" i="2" s="1"/>
  <c r="I119" i="2"/>
  <c r="I118" i="2" s="1"/>
  <c r="I215" i="2"/>
  <c r="I214" i="2" s="1"/>
  <c r="I393" i="2"/>
  <c r="I541" i="2"/>
  <c r="I539" i="2" s="1"/>
  <c r="L150" i="2"/>
  <c r="I157" i="2"/>
  <c r="L291" i="2"/>
  <c r="L290" i="2" s="1"/>
  <c r="L326" i="2"/>
  <c r="L325" i="2" s="1"/>
  <c r="L318" i="2" s="1"/>
  <c r="I135" i="2"/>
  <c r="I134" i="2" s="1"/>
  <c r="L135" i="2"/>
  <c r="L134" i="2" s="1"/>
  <c r="I199" i="2"/>
  <c r="I570" i="2"/>
  <c r="L191" i="2"/>
  <c r="I326" i="2"/>
  <c r="I325" i="2" s="1"/>
  <c r="I531" i="2"/>
  <c r="I528" i="2" s="1"/>
  <c r="L531" i="2"/>
  <c r="L528" i="2" s="1"/>
  <c r="I13" i="2"/>
  <c r="I145" i="2"/>
  <c r="L199" i="2"/>
  <c r="L311" i="2"/>
  <c r="L302" i="2" s="1"/>
  <c r="L355" i="2"/>
  <c r="L351" i="2" s="1"/>
  <c r="I24" i="2"/>
  <c r="I23" i="2" s="1"/>
  <c r="L373" i="2"/>
  <c r="L372" i="2" s="1"/>
  <c r="L215" i="2"/>
  <c r="L214" i="2" s="1"/>
  <c r="L338" i="2"/>
  <c r="L455" i="2"/>
  <c r="L454" i="2" s="1"/>
  <c r="I18" i="2"/>
  <c r="I17" i="2" s="1"/>
  <c r="I14" i="2"/>
  <c r="I92" i="2"/>
  <c r="I239" i="2"/>
  <c r="I250" i="2"/>
  <c r="I291" i="2"/>
  <c r="I290" i="2" s="1"/>
  <c r="I303" i="2"/>
  <c r="I373" i="2"/>
  <c r="I562" i="2"/>
  <c r="I59" i="2"/>
  <c r="I58" i="2" s="1"/>
  <c r="I283" i="2"/>
  <c r="I351" i="2"/>
  <c r="I551" i="2"/>
  <c r="I550" i="2" s="1"/>
  <c r="I33" i="2"/>
  <c r="I32" i="2" s="1"/>
  <c r="C15" i="15"/>
  <c r="I82" i="2" l="1"/>
  <c r="I372" i="2"/>
  <c r="I190" i="2"/>
  <c r="L539" i="2"/>
  <c r="L82" i="2"/>
  <c r="I144" i="2"/>
  <c r="I64" i="2" s="1"/>
  <c r="I302" i="2"/>
  <c r="I517" i="2"/>
  <c r="L561" i="2"/>
  <c r="I540" i="2"/>
  <c r="L144" i="2"/>
  <c r="L235" i="2"/>
  <c r="L234" i="2" s="1"/>
  <c r="I561" i="2"/>
  <c r="L14" i="2"/>
  <c r="I318" i="2"/>
  <c r="L24" i="2"/>
  <c r="L23" i="2" s="1"/>
  <c r="L16" i="2" s="1"/>
  <c r="L517" i="2"/>
  <c r="I337" i="2"/>
  <c r="I364" i="2"/>
  <c r="I235" i="2"/>
  <c r="I234" i="2" s="1"/>
  <c r="L364" i="2"/>
  <c r="L190" i="2"/>
  <c r="L337" i="2"/>
  <c r="K10" i="2"/>
  <c r="K618" i="2"/>
  <c r="I16" i="2"/>
  <c r="L64" i="2" l="1"/>
  <c r="L11" i="2" s="1"/>
  <c r="L618" i="2" s="1"/>
  <c r="E19" i="9" s="1"/>
  <c r="I11" i="2"/>
  <c r="I10" i="2" s="1"/>
  <c r="C6" i="15"/>
  <c r="C27" i="15" s="1"/>
  <c r="C32" i="15" s="1"/>
  <c r="I618" i="2" l="1"/>
  <c r="D19" i="9" s="1"/>
  <c r="L10" i="2"/>
  <c r="E27" i="15"/>
  <c r="E30" i="15" s="1"/>
  <c r="D23" i="15"/>
  <c r="D27" i="15" s="1"/>
  <c r="D30" i="15" s="1"/>
  <c r="H444" i="1"/>
  <c r="H378" i="1" l="1"/>
  <c r="H97" i="1"/>
  <c r="F594" i="2"/>
  <c r="F385" i="2"/>
  <c r="G495" i="1" l="1"/>
  <c r="G494" i="1" s="1"/>
  <c r="G493" i="1" s="1"/>
  <c r="G492" i="1" s="1"/>
  <c r="G473" i="1" s="1"/>
  <c r="H502" i="1"/>
  <c r="E191" i="2"/>
  <c r="E190" i="2" s="1"/>
  <c r="F198" i="2"/>
  <c r="I344" i="1" l="1"/>
  <c r="I343" i="1" s="1"/>
  <c r="L344" i="1"/>
  <c r="L343" i="1" s="1"/>
  <c r="H347" i="1"/>
  <c r="F347" i="1"/>
  <c r="G441" i="1"/>
  <c r="G440" i="1" s="1"/>
  <c r="G433" i="1" s="1"/>
  <c r="G432" i="1" s="1"/>
  <c r="L444" i="1"/>
  <c r="I444" i="1"/>
  <c r="F444" i="1"/>
  <c r="D615" i="2"/>
  <c r="F613" i="2"/>
  <c r="D613" i="2"/>
  <c r="H345" i="1"/>
  <c r="G344" i="1"/>
  <c r="F345" i="1"/>
  <c r="F611" i="2"/>
  <c r="D611" i="2"/>
  <c r="G277" i="1"/>
  <c r="G242" i="1" s="1"/>
  <c r="H280" i="1"/>
  <c r="F573" i="2"/>
  <c r="G568" i="1" l="1"/>
  <c r="F344" i="1"/>
  <c r="F343" i="1" s="1"/>
  <c r="H344" i="1"/>
  <c r="H343" i="1" s="1"/>
  <c r="G343" i="1"/>
  <c r="G311" i="1" s="1"/>
  <c r="G276" i="1"/>
  <c r="E157" i="2"/>
  <c r="G223" i="1"/>
  <c r="E454" i="2"/>
  <c r="G752" i="1"/>
  <c r="G740" i="1" s="1"/>
  <c r="G739" i="1" s="1"/>
  <c r="G738" i="1" s="1"/>
  <c r="G737" i="1" s="1"/>
  <c r="G736" i="1" s="1"/>
  <c r="G705" i="1" s="1"/>
  <c r="H757" i="1"/>
  <c r="F274" i="2"/>
  <c r="E264" i="2"/>
  <c r="G351" i="1"/>
  <c r="G350" i="1" s="1"/>
  <c r="G349" i="1" s="1"/>
  <c r="G536" i="1" l="1"/>
  <c r="E235" i="2"/>
  <c r="E234" i="2" s="1"/>
  <c r="G202" i="1"/>
  <c r="G201" i="1" s="1"/>
  <c r="G200" i="1" s="1"/>
  <c r="G199" i="1" s="1"/>
  <c r="G166" i="1" s="1"/>
  <c r="E64" i="2"/>
  <c r="G282" i="1"/>
  <c r="G89" i="1"/>
  <c r="G88" i="1" s="1"/>
  <c r="G62" i="1" s="1"/>
  <c r="G12" i="1" s="1"/>
  <c r="L96" i="1"/>
  <c r="I96" i="1"/>
  <c r="H854" i="1"/>
  <c r="H852" i="1"/>
  <c r="H850" i="1"/>
  <c r="H848" i="1"/>
  <c r="H846" i="1"/>
  <c r="H845" i="1" s="1"/>
  <c r="H840" i="1"/>
  <c r="H839" i="1" s="1"/>
  <c r="H838" i="1" s="1"/>
  <c r="H837" i="1" s="1"/>
  <c r="H834" i="1"/>
  <c r="H833" i="1" s="1"/>
  <c r="H832" i="1" s="1"/>
  <c r="H825" i="1"/>
  <c r="H824" i="1" s="1"/>
  <c r="H822" i="1"/>
  <c r="H820" i="1"/>
  <c r="H819" i="1" s="1"/>
  <c r="H810" i="1"/>
  <c r="H809" i="1" s="1"/>
  <c r="H808" i="1" s="1"/>
  <c r="H807" i="1" s="1"/>
  <c r="H806" i="1" s="1"/>
  <c r="H805" i="1" s="1"/>
  <c r="H804" i="1" s="1"/>
  <c r="H802" i="1"/>
  <c r="H801" i="1" s="1"/>
  <c r="H800" i="1" s="1"/>
  <c r="H799" i="1" s="1"/>
  <c r="H798" i="1" s="1"/>
  <c r="H797" i="1" s="1"/>
  <c r="H794" i="1"/>
  <c r="H793" i="1" s="1"/>
  <c r="H792" i="1" s="1"/>
  <c r="H791" i="1" s="1"/>
  <c r="H790" i="1" s="1"/>
  <c r="H789" i="1" s="1"/>
  <c r="H788" i="1" s="1"/>
  <c r="H786" i="1"/>
  <c r="H785" i="1" s="1"/>
  <c r="H780" i="1"/>
  <c r="H778" i="1"/>
  <c r="H776" i="1"/>
  <c r="H771" i="1"/>
  <c r="H770" i="1" s="1"/>
  <c r="H769" i="1" s="1"/>
  <c r="H768" i="1" s="1"/>
  <c r="H767" i="1" s="1"/>
  <c r="H763" i="1"/>
  <c r="H762" i="1" s="1"/>
  <c r="H760" i="1"/>
  <c r="H759" i="1" s="1"/>
  <c r="H756" i="1"/>
  <c r="H755" i="1" s="1"/>
  <c r="H753" i="1"/>
  <c r="H750" i="1"/>
  <c r="H749" i="1" s="1"/>
  <c r="H745" i="1"/>
  <c r="H744" i="1" s="1"/>
  <c r="H743" i="1"/>
  <c r="H742" i="1" s="1"/>
  <c r="H741" i="1" s="1"/>
  <c r="H734" i="1"/>
  <c r="H733" i="1" s="1"/>
  <c r="H732" i="1" s="1"/>
  <c r="H731" i="1" s="1"/>
  <c r="H730" i="1" s="1"/>
  <c r="H729" i="1" s="1"/>
  <c r="H726" i="1"/>
  <c r="H725" i="1" s="1"/>
  <c r="H723" i="1"/>
  <c r="H712" i="1"/>
  <c r="H711" i="1" s="1"/>
  <c r="H710" i="1" s="1"/>
  <c r="H709" i="1" s="1"/>
  <c r="H708" i="1" s="1"/>
  <c r="H707" i="1" s="1"/>
  <c r="H698" i="1"/>
  <c r="H696" i="1"/>
  <c r="H694" i="1"/>
  <c r="H693" i="1" s="1"/>
  <c r="H692" i="1"/>
  <c r="H691" i="1" s="1"/>
  <c r="H684" i="1"/>
  <c r="H683" i="1" s="1"/>
  <c r="H682" i="1" s="1"/>
  <c r="H681" i="1" s="1"/>
  <c r="H680" i="1" s="1"/>
  <c r="H679" i="1" s="1"/>
  <c r="H676" i="1"/>
  <c r="H674" i="1"/>
  <c r="H671" i="1"/>
  <c r="H670" i="1" s="1"/>
  <c r="H668" i="1"/>
  <c r="H666" i="1"/>
  <c r="H662" i="1"/>
  <c r="H661" i="1" s="1"/>
  <c r="H660" i="1" s="1"/>
  <c r="H654" i="1"/>
  <c r="H653" i="1" s="1"/>
  <c r="H652" i="1" s="1"/>
  <c r="H650" i="1"/>
  <c r="H648" i="1"/>
  <c r="H642" i="1"/>
  <c r="H640" i="1"/>
  <c r="H638" i="1"/>
  <c r="H634" i="1"/>
  <c r="H632" i="1"/>
  <c r="H630" i="1"/>
  <c r="H628" i="1"/>
  <c r="H626" i="1"/>
  <c r="H621" i="1"/>
  <c r="H620" i="1" s="1"/>
  <c r="H619" i="1" s="1"/>
  <c r="H618" i="1" s="1"/>
  <c r="H617" i="1" s="1"/>
  <c r="H613" i="1"/>
  <c r="H611" i="1"/>
  <c r="H575" i="1"/>
  <c r="H574" i="1" s="1"/>
  <c r="H571" i="1"/>
  <c r="H570" i="1" s="1"/>
  <c r="H566" i="1"/>
  <c r="H565" i="1" s="1"/>
  <c r="H564" i="1" s="1"/>
  <c r="H559" i="1"/>
  <c r="H558" i="1" s="1"/>
  <c r="H556" i="1"/>
  <c r="H554" i="1"/>
  <c r="H552" i="1"/>
  <c r="H550" i="1"/>
  <c r="H548" i="1"/>
  <c r="H544" i="1"/>
  <c r="H543" i="1"/>
  <c r="H541" i="1"/>
  <c r="H539" i="1"/>
  <c r="H532" i="1"/>
  <c r="H531" i="1" s="1"/>
  <c r="H530" i="1" s="1"/>
  <c r="H527" i="1"/>
  <c r="H526" i="1" s="1"/>
  <c r="H524" i="1"/>
  <c r="H521" i="1"/>
  <c r="H519" i="1"/>
  <c r="H510" i="1"/>
  <c r="H509" i="1" s="1"/>
  <c r="H508" i="1" s="1"/>
  <c r="H507" i="1" s="1"/>
  <c r="H506" i="1" s="1"/>
  <c r="H504" i="1"/>
  <c r="H503" i="1" s="1"/>
  <c r="H499" i="1"/>
  <c r="H498" i="1" s="1"/>
  <c r="H496" i="1"/>
  <c r="H485" i="1"/>
  <c r="H484" i="1" s="1"/>
  <c r="H483" i="1" s="1"/>
  <c r="H482" i="1" s="1"/>
  <c r="H481" i="1" s="1"/>
  <c r="H480" i="1"/>
  <c r="H479" i="1" s="1"/>
  <c r="H478" i="1" s="1"/>
  <c r="H477" i="1" s="1"/>
  <c r="H476" i="1" s="1"/>
  <c r="H475" i="1" s="1"/>
  <c r="H474" i="1" s="1"/>
  <c r="H471" i="1"/>
  <c r="H470" i="1" s="1"/>
  <c r="H469" i="1" s="1"/>
  <c r="H468" i="1" s="1"/>
  <c r="H467" i="1" s="1"/>
  <c r="H466" i="1" s="1"/>
  <c r="H457" i="1"/>
  <c r="H456" i="1" s="1"/>
  <c r="H455" i="1" s="1"/>
  <c r="H453" i="1"/>
  <c r="H442" i="1"/>
  <c r="H441" i="1" s="1"/>
  <c r="H440" i="1" s="1"/>
  <c r="H438" i="1"/>
  <c r="H437" i="1" s="1"/>
  <c r="H436" i="1" s="1"/>
  <c r="H435" i="1" s="1"/>
  <c r="H434" i="1" s="1"/>
  <c r="H430" i="1"/>
  <c r="H428" i="1"/>
  <c r="H419" i="1"/>
  <c r="H418" i="1"/>
  <c r="H417" i="1" s="1"/>
  <c r="H407" i="1"/>
  <c r="H406" i="1" s="1"/>
  <c r="H405" i="1" s="1"/>
  <c r="H402" i="1"/>
  <c r="H401" i="1" s="1"/>
  <c r="H399" i="1"/>
  <c r="H398" i="1" s="1"/>
  <c r="H395" i="1"/>
  <c r="H394" i="1" s="1"/>
  <c r="H392" i="1"/>
  <c r="H390" i="1"/>
  <c r="H388" i="1"/>
  <c r="H375" i="1"/>
  <c r="H373" i="1"/>
  <c r="H372" i="1" s="1"/>
  <c r="H370" i="1"/>
  <c r="H366" i="1"/>
  <c r="H364" i="1"/>
  <c r="H361" i="1"/>
  <c r="H360" i="1" s="1"/>
  <c r="H354" i="1"/>
  <c r="H353" i="1"/>
  <c r="H352" i="1" s="1"/>
  <c r="H336" i="1"/>
  <c r="H335" i="1"/>
  <c r="H334" i="1" s="1"/>
  <c r="H332" i="1"/>
  <c r="H330" i="1"/>
  <c r="H327" i="1"/>
  <c r="H326" i="1" s="1"/>
  <c r="H324" i="1"/>
  <c r="H322" i="1"/>
  <c r="H320" i="1"/>
  <c r="H316" i="1"/>
  <c r="H315" i="1" s="1"/>
  <c r="H314" i="1" s="1"/>
  <c r="H307" i="1"/>
  <c r="H306" i="1" s="1"/>
  <c r="H305" i="1" s="1"/>
  <c r="H302" i="1"/>
  <c r="H301" i="1" s="1"/>
  <c r="H299" i="1"/>
  <c r="H297" i="1"/>
  <c r="H295" i="1"/>
  <c r="H293" i="1"/>
  <c r="H288" i="1"/>
  <c r="H287" i="1" s="1"/>
  <c r="H286" i="1" s="1"/>
  <c r="H285" i="1" s="1"/>
  <c r="H278" i="1"/>
  <c r="H277" i="1" s="1"/>
  <c r="H276" i="1" s="1"/>
  <c r="H274" i="1"/>
  <c r="H273" i="1" s="1"/>
  <c r="H270" i="1"/>
  <c r="H269" i="1" s="1"/>
  <c r="H267" i="1"/>
  <c r="H259" i="1"/>
  <c r="H258" i="1" s="1"/>
  <c r="H256" i="1"/>
  <c r="H254" i="1"/>
  <c r="H249" i="1"/>
  <c r="H248" i="1" s="1"/>
  <c r="H246" i="1"/>
  <c r="H245" i="1" s="1"/>
  <c r="H237" i="1"/>
  <c r="H236" i="1" s="1"/>
  <c r="H235" i="1" s="1"/>
  <c r="H225" i="1"/>
  <c r="H224" i="1" s="1"/>
  <c r="H223" i="1" s="1"/>
  <c r="H221" i="1"/>
  <c r="H220" i="1" s="1"/>
  <c r="H219" i="1"/>
  <c r="H218" i="1" s="1"/>
  <c r="H217" i="1"/>
  <c r="H216" i="1" s="1"/>
  <c r="H213" i="1"/>
  <c r="H212" i="1"/>
  <c r="H209" i="1"/>
  <c r="H208" i="1" s="1"/>
  <c r="H204" i="1"/>
  <c r="H203" i="1" s="1"/>
  <c r="H197" i="1"/>
  <c r="H196" i="1" s="1"/>
  <c r="H195" i="1" s="1"/>
  <c r="H194" i="1" s="1"/>
  <c r="H190" i="1"/>
  <c r="H189" i="1" s="1"/>
  <c r="H188" i="1" s="1"/>
  <c r="H186" i="1"/>
  <c r="H185" i="1" s="1"/>
  <c r="H184" i="1" s="1"/>
  <c r="H183" i="1" s="1"/>
  <c r="H181" i="1"/>
  <c r="H179" i="1"/>
  <c r="H177" i="1"/>
  <c r="H175" i="1"/>
  <c r="H172" i="1"/>
  <c r="H171" i="1" s="1"/>
  <c r="H164" i="1"/>
  <c r="H163" i="1" s="1"/>
  <c r="H162" i="1" s="1"/>
  <c r="H160" i="1"/>
  <c r="H157" i="1"/>
  <c r="H155" i="1"/>
  <c r="H152" i="1"/>
  <c r="H147" i="1"/>
  <c r="H145" i="1"/>
  <c r="H138" i="1"/>
  <c r="H137" i="1"/>
  <c r="H136" i="1"/>
  <c r="H133" i="1"/>
  <c r="H126" i="1"/>
  <c r="H124" i="1"/>
  <c r="H122" i="1"/>
  <c r="H120" i="1"/>
  <c r="H114" i="1"/>
  <c r="H112" i="1" s="1"/>
  <c r="H111" i="1" s="1"/>
  <c r="H110" i="1" s="1"/>
  <c r="H109" i="1" s="1"/>
  <c r="H108" i="1" s="1"/>
  <c r="H107" i="1" s="1"/>
  <c r="H106" i="1" s="1"/>
  <c r="H104" i="1"/>
  <c r="H102" i="1"/>
  <c r="H100" i="1"/>
  <c r="H98" i="1"/>
  <c r="H96" i="1"/>
  <c r="H94" i="1"/>
  <c r="H90" i="1"/>
  <c r="H85" i="1"/>
  <c r="H84" i="1" s="1"/>
  <c r="H83" i="1" s="1"/>
  <c r="H82" i="1" s="1"/>
  <c r="H81" i="1"/>
  <c r="H80" i="1" s="1"/>
  <c r="H79" i="1"/>
  <c r="H78" i="1" s="1"/>
  <c r="H73" i="1"/>
  <c r="H72" i="1" s="1"/>
  <c r="H71" i="1" s="1"/>
  <c r="H69" i="1"/>
  <c r="H67" i="1"/>
  <c r="H60" i="1"/>
  <c r="H59" i="1" s="1"/>
  <c r="H58" i="1" s="1"/>
  <c r="H57" i="1" s="1"/>
  <c r="H56" i="1" s="1"/>
  <c r="H55" i="1" s="1"/>
  <c r="H53" i="1"/>
  <c r="H52" i="1" s="1"/>
  <c r="H51" i="1" s="1"/>
  <c r="H48" i="1"/>
  <c r="H47" i="1" s="1"/>
  <c r="H46" i="1" s="1"/>
  <c r="H44" i="1"/>
  <c r="H41" i="1"/>
  <c r="H38" i="1"/>
  <c r="H36" i="1"/>
  <c r="H33" i="1"/>
  <c r="H30" i="1"/>
  <c r="H27" i="1"/>
  <c r="H25" i="1" s="1"/>
  <c r="H24" i="1" s="1"/>
  <c r="H23" i="1" s="1"/>
  <c r="H19" i="1"/>
  <c r="H18" i="1" s="1"/>
  <c r="H17" i="1" s="1"/>
  <c r="H16" i="1" s="1"/>
  <c r="H15" i="1" s="1"/>
  <c r="H14" i="1" s="1"/>
  <c r="H13" i="1" s="1"/>
  <c r="G812" i="1"/>
  <c r="F96" i="1"/>
  <c r="J593" i="2"/>
  <c r="G593" i="2"/>
  <c r="F593" i="2"/>
  <c r="D593" i="2"/>
  <c r="E12" i="2"/>
  <c r="E13" i="2"/>
  <c r="E14" i="2"/>
  <c r="E15" i="2"/>
  <c r="F609" i="2"/>
  <c r="F607" i="2"/>
  <c r="F605" i="2"/>
  <c r="F603" i="2"/>
  <c r="F601" i="2"/>
  <c r="F599" i="2"/>
  <c r="F597" i="2"/>
  <c r="F595" i="2"/>
  <c r="F586" i="2"/>
  <c r="F584" i="2"/>
  <c r="F583" i="2"/>
  <c r="F582" i="2" s="1"/>
  <c r="F580" i="2"/>
  <c r="F578" i="2"/>
  <c r="F576" i="2"/>
  <c r="F575" i="2" s="1"/>
  <c r="F571" i="2"/>
  <c r="F568" i="2"/>
  <c r="F566" i="2"/>
  <c r="F565" i="2" s="1"/>
  <c r="F563" i="2"/>
  <c r="F559" i="2"/>
  <c r="F558" i="2" s="1"/>
  <c r="F555" i="2"/>
  <c r="F554" i="2" s="1"/>
  <c r="F552" i="2"/>
  <c r="F537" i="2"/>
  <c r="F536" i="2" s="1"/>
  <c r="F534" i="2"/>
  <c r="F533" i="2"/>
  <c r="F532" i="2"/>
  <c r="F530" i="2"/>
  <c r="F529" i="2" s="1"/>
  <c r="F525" i="2"/>
  <c r="F523" i="2"/>
  <c r="F522" i="2"/>
  <c r="F521" i="2" s="1"/>
  <c r="F519" i="2"/>
  <c r="F514" i="2"/>
  <c r="F513" i="2" s="1"/>
  <c r="F512" i="2" s="1"/>
  <c r="F502" i="2"/>
  <c r="F501" i="2" s="1"/>
  <c r="F500" i="2" s="1"/>
  <c r="F494" i="2"/>
  <c r="F493" i="2" s="1"/>
  <c r="F492" i="2" s="1"/>
  <c r="F490" i="2"/>
  <c r="F489" i="2" s="1"/>
  <c r="F488" i="2" s="1"/>
  <c r="F478" i="2"/>
  <c r="F477" i="2" s="1"/>
  <c r="F476" i="2" s="1"/>
  <c r="F474" i="2"/>
  <c r="F473" i="2" s="1"/>
  <c r="F472" i="2"/>
  <c r="F471" i="2" s="1"/>
  <c r="F470" i="2"/>
  <c r="F469" i="2" s="1"/>
  <c r="F466" i="2"/>
  <c r="F465" i="2" s="1"/>
  <c r="F462" i="2"/>
  <c r="F461" i="2" s="1"/>
  <c r="F457" i="2"/>
  <c r="F456" i="2" s="1"/>
  <c r="F447" i="2"/>
  <c r="F446" i="2"/>
  <c r="F445" i="2" s="1"/>
  <c r="F443" i="2"/>
  <c r="F441" i="2"/>
  <c r="F438" i="2"/>
  <c r="F437" i="2" s="1"/>
  <c r="F435" i="2"/>
  <c r="F433" i="2"/>
  <c r="F430" i="2"/>
  <c r="F418" i="2"/>
  <c r="F417" i="2" s="1"/>
  <c r="F416" i="2"/>
  <c r="F415" i="2" s="1"/>
  <c r="F414" i="2" s="1"/>
  <c r="F412" i="2"/>
  <c r="F411" i="2" s="1"/>
  <c r="F408" i="2"/>
  <c r="F407" i="2" s="1"/>
  <c r="F405" i="2"/>
  <c r="F403" i="2"/>
  <c r="F400" i="2"/>
  <c r="F398" i="2"/>
  <c r="F396" i="2"/>
  <c r="F394" i="2"/>
  <c r="F389" i="2"/>
  <c r="F388" i="2" s="1"/>
  <c r="F386" i="2"/>
  <c r="F382" i="2"/>
  <c r="F380" i="2"/>
  <c r="F378" i="2"/>
  <c r="F375" i="2"/>
  <c r="F374" i="2" s="1"/>
  <c r="F368" i="2"/>
  <c r="F367" i="2" s="1"/>
  <c r="F366" i="2" s="1"/>
  <c r="F365" i="2" s="1"/>
  <c r="F362" i="2"/>
  <c r="F360" i="2"/>
  <c r="F358" i="2"/>
  <c r="F356" i="2"/>
  <c r="F353" i="2"/>
  <c r="F352" i="2" s="1"/>
  <c r="F345" i="2"/>
  <c r="F344" i="2" s="1"/>
  <c r="F342" i="2"/>
  <c r="F340" i="2"/>
  <c r="F335" i="2"/>
  <c r="F332" i="2"/>
  <c r="F328" i="2"/>
  <c r="F327" i="2" s="1"/>
  <c r="F323" i="2"/>
  <c r="F321" i="2"/>
  <c r="F316" i="2"/>
  <c r="F313" i="2"/>
  <c r="F312" i="2" s="1"/>
  <c r="F309" i="2"/>
  <c r="F307" i="2"/>
  <c r="F306" i="2" s="1"/>
  <c r="F305" i="2"/>
  <c r="F304" i="2" s="1"/>
  <c r="F300" i="2"/>
  <c r="F299" i="2" s="1"/>
  <c r="F298" i="2" s="1"/>
  <c r="F295" i="2"/>
  <c r="F294" i="2" s="1"/>
  <c r="F292" i="2"/>
  <c r="F288" i="2"/>
  <c r="F287" i="2" s="1"/>
  <c r="F285" i="2"/>
  <c r="F284" i="2" s="1"/>
  <c r="F275" i="2"/>
  <c r="F273" i="2"/>
  <c r="F272" i="2" s="1"/>
  <c r="F270" i="2"/>
  <c r="F267" i="2"/>
  <c r="F266" i="2" s="1"/>
  <c r="F265" i="2" s="1"/>
  <c r="F262" i="2"/>
  <c r="F261" i="2" s="1"/>
  <c r="F255" i="2"/>
  <c r="F253" i="2"/>
  <c r="F251" i="2"/>
  <c r="F248" i="2"/>
  <c r="F247" i="2" s="1"/>
  <c r="F245" i="2"/>
  <c r="F244" i="2" s="1"/>
  <c r="F243" i="2"/>
  <c r="F242" i="2" s="1"/>
  <c r="F240" i="2"/>
  <c r="F238" i="2"/>
  <c r="F237" i="2" s="1"/>
  <c r="F236" i="2" s="1"/>
  <c r="F232" i="2"/>
  <c r="F231" i="2" s="1"/>
  <c r="F228" i="2"/>
  <c r="F227" i="2" s="1"/>
  <c r="F225" i="2"/>
  <c r="F223" i="2"/>
  <c r="F220" i="2"/>
  <c r="F218" i="2"/>
  <c r="F216" i="2"/>
  <c r="F209" i="2"/>
  <c r="F208" i="2" s="1"/>
  <c r="F207" i="2" s="1"/>
  <c r="F204" i="2"/>
  <c r="F202" i="2"/>
  <c r="F200" i="2"/>
  <c r="F195" i="2"/>
  <c r="F194" i="2" s="1"/>
  <c r="F192" i="2"/>
  <c r="F188" i="2"/>
  <c r="F187" i="2" s="1"/>
  <c r="F186" i="2" s="1"/>
  <c r="F164" i="2"/>
  <c r="F163" i="2" s="1"/>
  <c r="F160" i="2"/>
  <c r="F159" i="2" s="1"/>
  <c r="F158" i="2" s="1"/>
  <c r="F154" i="2"/>
  <c r="F151" i="2"/>
  <c r="F148" i="2"/>
  <c r="F146" i="2"/>
  <c r="F140" i="2"/>
  <c r="F138" i="2"/>
  <c r="F136" i="2"/>
  <c r="F132" i="2"/>
  <c r="F130" i="2"/>
  <c r="F128" i="2"/>
  <c r="F126" i="2"/>
  <c r="F124" i="2"/>
  <c r="F122" i="2"/>
  <c r="F121" i="2"/>
  <c r="F120" i="2" s="1"/>
  <c r="F113" i="2"/>
  <c r="F112" i="2" s="1"/>
  <c r="F110" i="2"/>
  <c r="F109" i="2" s="1"/>
  <c r="F107" i="2"/>
  <c r="F105" i="2"/>
  <c r="F103" i="2"/>
  <c r="F101" i="2"/>
  <c r="F99" i="2"/>
  <c r="F97" i="2"/>
  <c r="F96" i="2"/>
  <c r="F95" i="2" s="1"/>
  <c r="F93" i="2"/>
  <c r="F89" i="2"/>
  <c r="F88" i="2" s="1"/>
  <c r="F86" i="2"/>
  <c r="F84" i="2"/>
  <c r="F79" i="2"/>
  <c r="F78" i="2" s="1"/>
  <c r="F76" i="2"/>
  <c r="F74" i="2"/>
  <c r="F72" i="2"/>
  <c r="F69" i="2"/>
  <c r="F67" i="2"/>
  <c r="F63" i="2"/>
  <c r="F62" i="2" s="1"/>
  <c r="F61" i="2"/>
  <c r="F60" i="2" s="1"/>
  <c r="F57" i="2"/>
  <c r="F55" i="2" s="1"/>
  <c r="F52" i="2"/>
  <c r="F50" i="2"/>
  <c r="F48" i="2"/>
  <c r="F45" i="2"/>
  <c r="F42" i="2"/>
  <c r="F40" i="2"/>
  <c r="F37" i="2"/>
  <c r="F34" i="2"/>
  <c r="F31" i="2"/>
  <c r="F30" i="2" s="1"/>
  <c r="F29" i="2"/>
  <c r="F27" i="2" s="1"/>
  <c r="F26" i="2"/>
  <c r="F25" i="2" s="1"/>
  <c r="F21" i="2"/>
  <c r="F19" i="2"/>
  <c r="F15" i="2"/>
  <c r="G535" i="1" l="1"/>
  <c r="G534" i="1" s="1"/>
  <c r="G513" i="1" s="1"/>
  <c r="H569" i="1"/>
  <c r="F83" i="2"/>
  <c r="H319" i="1"/>
  <c r="F499" i="2"/>
  <c r="H404" i="1"/>
  <c r="H359" i="1"/>
  <c r="H775" i="1"/>
  <c r="H774" i="1" s="1"/>
  <c r="H773" i="1" s="1"/>
  <c r="H766" i="1" s="1"/>
  <c r="H765" i="1" s="1"/>
  <c r="H253" i="1"/>
  <c r="H252" i="1" s="1"/>
  <c r="H251" i="1" s="1"/>
  <c r="H816" i="1"/>
  <c r="H815" i="1" s="1"/>
  <c r="H814" i="1" s="1"/>
  <c r="H813" i="1" s="1"/>
  <c r="H812" i="1" s="1"/>
  <c r="F373" i="2"/>
  <c r="F145" i="2"/>
  <c r="F250" i="2"/>
  <c r="F18" i="2"/>
  <c r="F17" i="2" s="1"/>
  <c r="F311" i="2"/>
  <c r="F339" i="2"/>
  <c r="F338" i="2" s="1"/>
  <c r="F191" i="2"/>
  <c r="F150" i="2"/>
  <c r="H135" i="1"/>
  <c r="H132" i="1" s="1"/>
  <c r="H131" i="1" s="1"/>
  <c r="H130" i="1" s="1"/>
  <c r="H129" i="1" s="1"/>
  <c r="F320" i="2"/>
  <c r="F319" i="2" s="1"/>
  <c r="F135" i="2"/>
  <c r="F134" i="2" s="1"/>
  <c r="H647" i="1"/>
  <c r="H646" i="1" s="1"/>
  <c r="F518" i="2"/>
  <c r="H722" i="1"/>
  <c r="H721" i="1" s="1"/>
  <c r="H720" i="1" s="1"/>
  <c r="H719" i="1" s="1"/>
  <c r="H718" i="1" s="1"/>
  <c r="H706" i="1" s="1"/>
  <c r="F551" i="2"/>
  <c r="F550" i="2" s="1"/>
  <c r="F570" i="2"/>
  <c r="H538" i="1"/>
  <c r="F562" i="2"/>
  <c r="H610" i="1"/>
  <c r="H609" i="1" s="1"/>
  <c r="H608" i="1" s="1"/>
  <c r="H607" i="1" s="1"/>
  <c r="H606" i="1" s="1"/>
  <c r="H602" i="1" s="1"/>
  <c r="H665" i="1"/>
  <c r="H664" i="1" s="1"/>
  <c r="F326" i="2"/>
  <c r="F325" i="2" s="1"/>
  <c r="E561" i="2"/>
  <c r="H151" i="1"/>
  <c r="H150" i="1" s="1"/>
  <c r="H149" i="1" s="1"/>
  <c r="H244" i="1"/>
  <c r="H427" i="1"/>
  <c r="H426" i="1" s="1"/>
  <c r="H425" i="1" s="1"/>
  <c r="H424" i="1" s="1"/>
  <c r="H423" i="1" s="1"/>
  <c r="H422" i="1" s="1"/>
  <c r="H433" i="1"/>
  <c r="H432" i="1" s="1"/>
  <c r="H844" i="1"/>
  <c r="H843" i="1" s="1"/>
  <c r="H842" i="1" s="1"/>
  <c r="H89" i="1"/>
  <c r="H88" i="1" s="1"/>
  <c r="H266" i="1"/>
  <c r="H265" i="1" s="1"/>
  <c r="H625" i="1"/>
  <c r="H624" i="1" s="1"/>
  <c r="H673" i="1"/>
  <c r="H672" i="1" s="1"/>
  <c r="H144" i="1"/>
  <c r="H143" i="1" s="1"/>
  <c r="H211" i="1"/>
  <c r="H202" i="1" s="1"/>
  <c r="H292" i="1"/>
  <c r="H291" i="1" s="1"/>
  <c r="H284" i="1" s="1"/>
  <c r="H283" i="1" s="1"/>
  <c r="H758" i="1"/>
  <c r="H495" i="1"/>
  <c r="H494" i="1" s="1"/>
  <c r="H493" i="1" s="1"/>
  <c r="H492" i="1" s="1"/>
  <c r="H473" i="1" s="1"/>
  <c r="H66" i="1"/>
  <c r="H65" i="1" s="1"/>
  <c r="H174" i="1"/>
  <c r="H170" i="1" s="1"/>
  <c r="H169" i="1" s="1"/>
  <c r="H168" i="1" s="1"/>
  <c r="H167" i="1" s="1"/>
  <c r="H547" i="1"/>
  <c r="H537" i="1" s="1"/>
  <c r="H637" i="1"/>
  <c r="H636" i="1" s="1"/>
  <c r="H29" i="1"/>
  <c r="H28" i="1" s="1"/>
  <c r="H22" i="1" s="1"/>
  <c r="H21" i="1" s="1"/>
  <c r="H20" i="1" s="1"/>
  <c r="H518" i="1"/>
  <c r="H517" i="1" s="1"/>
  <c r="H516" i="1" s="1"/>
  <c r="H515" i="1" s="1"/>
  <c r="H514" i="1" s="1"/>
  <c r="H77" i="1"/>
  <c r="H76" i="1" s="1"/>
  <c r="H119" i="1"/>
  <c r="H118" i="1" s="1"/>
  <c r="H117" i="1" s="1"/>
  <c r="H116" i="1" s="1"/>
  <c r="H318" i="1"/>
  <c r="H313" i="1" s="1"/>
  <c r="H312" i="1" s="1"/>
  <c r="H311" i="1" s="1"/>
  <c r="H568" i="1"/>
  <c r="F157" i="2"/>
  <c r="H752" i="1"/>
  <c r="H690" i="1"/>
  <c r="H689" i="1" s="1"/>
  <c r="H688" i="1" s="1"/>
  <c r="H687" i="1" s="1"/>
  <c r="H686" i="1" s="1"/>
  <c r="H387" i="1"/>
  <c r="H358" i="1" s="1"/>
  <c r="H831" i="1"/>
  <c r="H830" i="1"/>
  <c r="H829" i="1" s="1"/>
  <c r="H193" i="1"/>
  <c r="H192" i="1"/>
  <c r="H452" i="1"/>
  <c r="G827" i="1"/>
  <c r="F464" i="2"/>
  <c r="F455" i="2" s="1"/>
  <c r="F531" i="2"/>
  <c r="F528" i="2" s="1"/>
  <c r="F291" i="2"/>
  <c r="F290" i="2" s="1"/>
  <c r="F393" i="2"/>
  <c r="F429" i="2"/>
  <c r="F428" i="2" s="1"/>
  <c r="F59" i="2"/>
  <c r="F58" i="2" s="1"/>
  <c r="F119" i="2"/>
  <c r="F118" i="2" s="1"/>
  <c r="F303" i="2"/>
  <c r="F199" i="2"/>
  <c r="F13" i="2"/>
  <c r="F92" i="2"/>
  <c r="F239" i="2"/>
  <c r="F355" i="2"/>
  <c r="F351" i="2" s="1"/>
  <c r="F283" i="2"/>
  <c r="F12" i="2"/>
  <c r="E16" i="2"/>
  <c r="E11" i="2" s="1"/>
  <c r="F66" i="2"/>
  <c r="F65" i="2" s="1"/>
  <c r="F264" i="2"/>
  <c r="F215" i="2"/>
  <c r="F214" i="2" s="1"/>
  <c r="F24" i="2"/>
  <c r="F23" i="2" s="1"/>
  <c r="F33" i="2"/>
  <c r="F32" i="2" s="1"/>
  <c r="F692" i="1"/>
  <c r="D305" i="2"/>
  <c r="F235" i="2" l="1"/>
  <c r="H623" i="1"/>
  <c r="H616" i="1" s="1"/>
  <c r="H615" i="1" s="1"/>
  <c r="F82" i="2"/>
  <c r="H659" i="1"/>
  <c r="H658" i="1" s="1"/>
  <c r="H657" i="1" s="1"/>
  <c r="H656" i="1" s="1"/>
  <c r="H451" i="1"/>
  <c r="H450" i="1" s="1"/>
  <c r="H449" i="1" s="1"/>
  <c r="H448" i="1" s="1"/>
  <c r="H447" i="1" s="1"/>
  <c r="H201" i="1"/>
  <c r="H200" i="1" s="1"/>
  <c r="H199" i="1" s="1"/>
  <c r="H536" i="1"/>
  <c r="H535" i="1" s="1"/>
  <c r="H243" i="1"/>
  <c r="H242" i="1" s="1"/>
  <c r="F144" i="2"/>
  <c r="F372" i="2"/>
  <c r="F364" i="2" s="1"/>
  <c r="F454" i="2"/>
  <c r="F318" i="2"/>
  <c r="F517" i="2"/>
  <c r="F302" i="2"/>
  <c r="F14" i="2"/>
  <c r="F190" i="2"/>
  <c r="F561" i="2"/>
  <c r="H828" i="1"/>
  <c r="H827" i="1" s="1"/>
  <c r="H351" i="1"/>
  <c r="H350" i="1" s="1"/>
  <c r="H349" i="1" s="1"/>
  <c r="H282" i="1" s="1"/>
  <c r="H64" i="1"/>
  <c r="H63" i="1" s="1"/>
  <c r="H62" i="1" s="1"/>
  <c r="H12" i="1" s="1"/>
  <c r="F234" i="2"/>
  <c r="H142" i="1"/>
  <c r="H141" i="1" s="1"/>
  <c r="H140" i="1" s="1"/>
  <c r="H115" i="1" s="1"/>
  <c r="H740" i="1"/>
  <c r="H739" i="1" s="1"/>
  <c r="H738" i="1" s="1"/>
  <c r="H737" i="1" s="1"/>
  <c r="H736" i="1" s="1"/>
  <c r="H705" i="1" s="1"/>
  <c r="G11" i="1"/>
  <c r="G512" i="1"/>
  <c r="F337" i="2"/>
  <c r="F16" i="2"/>
  <c r="E10" i="2"/>
  <c r="E618" i="2"/>
  <c r="D257" i="2"/>
  <c r="D255" i="2" s="1"/>
  <c r="F64" i="2" l="1"/>
  <c r="H534" i="1"/>
  <c r="H513" i="1" s="1"/>
  <c r="H512" i="1" s="1"/>
  <c r="H166" i="1"/>
  <c r="H11" i="1" s="1"/>
  <c r="G856" i="1"/>
  <c r="F11" i="2"/>
  <c r="F10" i="2" s="1"/>
  <c r="M236" i="2"/>
  <c r="M194" i="2"/>
  <c r="M192" i="2"/>
  <c r="H856" i="1" l="1"/>
  <c r="F618" i="2"/>
  <c r="F70" i="8"/>
  <c r="F51" i="8"/>
  <c r="C51" i="8" s="1"/>
  <c r="C65" i="8"/>
  <c r="C66" i="8"/>
  <c r="C85" i="8"/>
  <c r="C86" i="8"/>
  <c r="C87" i="8"/>
  <c r="C88" i="8"/>
  <c r="C89" i="8"/>
  <c r="F335" i="1"/>
  <c r="L127" i="1"/>
  <c r="I127" i="1"/>
  <c r="F127" i="1"/>
  <c r="J526" i="2"/>
  <c r="G526" i="2"/>
  <c r="D526" i="2"/>
  <c r="C16" i="9" l="1"/>
  <c r="C19" i="9"/>
  <c r="D446" i="2"/>
  <c r="L27" i="1" l="1"/>
  <c r="F27" i="1"/>
  <c r="L26" i="1"/>
  <c r="I26" i="1"/>
  <c r="F26" i="1"/>
  <c r="J28" i="2"/>
  <c r="G28" i="2"/>
  <c r="D28" i="2"/>
  <c r="J29" i="2"/>
  <c r="D29" i="2"/>
  <c r="L91" i="1" l="1"/>
  <c r="I91" i="1"/>
  <c r="F91" i="1"/>
  <c r="J587" i="2"/>
  <c r="G587" i="2"/>
  <c r="D587" i="2"/>
  <c r="F781" i="1"/>
  <c r="I288" i="1"/>
  <c r="I287" i="1" s="1"/>
  <c r="I286" i="1" s="1"/>
  <c r="I285" i="1" s="1"/>
  <c r="F19" i="1"/>
  <c r="L19" i="1"/>
  <c r="I19" i="1"/>
  <c r="L621" i="1"/>
  <c r="I621" i="1"/>
  <c r="F621" i="1"/>
  <c r="L771" i="1"/>
  <c r="I771" i="1"/>
  <c r="F771" i="1"/>
  <c r="L820" i="1"/>
  <c r="I820" i="1"/>
  <c r="F820" i="1"/>
  <c r="L835" i="1"/>
  <c r="I835" i="1"/>
  <c r="F835" i="1"/>
  <c r="L442" i="1"/>
  <c r="I442" i="1"/>
  <c r="F442" i="1"/>
  <c r="D609" i="2"/>
  <c r="F441" i="1" l="1"/>
  <c r="F440" i="1" s="1"/>
  <c r="L441" i="1"/>
  <c r="L440" i="1" s="1"/>
  <c r="I441" i="1"/>
  <c r="I440" i="1" s="1"/>
  <c r="J566" i="2"/>
  <c r="G566" i="2"/>
  <c r="D566" i="2"/>
  <c r="J26" i="2"/>
  <c r="G26" i="2"/>
  <c r="D26" i="2"/>
  <c r="F217" i="1"/>
  <c r="F216" i="1" s="1"/>
  <c r="F219" i="1"/>
  <c r="D470" i="2"/>
  <c r="D472" i="2"/>
  <c r="L470" i="1" l="1"/>
  <c r="L469" i="1" s="1"/>
  <c r="L468" i="1" s="1"/>
  <c r="L467" i="1" s="1"/>
  <c r="L466" i="1" s="1"/>
  <c r="I470" i="1"/>
  <c r="I469" i="1" s="1"/>
  <c r="I468" i="1" s="1"/>
  <c r="I467" i="1" s="1"/>
  <c r="I466" i="1" s="1"/>
  <c r="F471" i="1"/>
  <c r="F470" i="1" s="1"/>
  <c r="F469" i="1" s="1"/>
  <c r="F79" i="1"/>
  <c r="D61" i="2"/>
  <c r="G209" i="2" l="1"/>
  <c r="G208" i="2" s="1"/>
  <c r="G207" i="2" s="1"/>
  <c r="F696" i="1"/>
  <c r="D309" i="2"/>
  <c r="J533" i="2" l="1"/>
  <c r="G533" i="2"/>
  <c r="D533" i="2"/>
  <c r="J532" i="2"/>
  <c r="G532" i="2"/>
  <c r="D532" i="2"/>
  <c r="L136" i="1"/>
  <c r="L137" i="1"/>
  <c r="I136" i="1"/>
  <c r="I137" i="1"/>
  <c r="F136" i="1"/>
  <c r="F137" i="1"/>
  <c r="F104" i="1" l="1"/>
  <c r="D607" i="2"/>
  <c r="L114" i="1" l="1"/>
  <c r="I114" i="1"/>
  <c r="F114" i="1"/>
  <c r="J57" i="2"/>
  <c r="G57" i="2"/>
  <c r="D57" i="2"/>
  <c r="L407" i="1"/>
  <c r="L406" i="1" s="1"/>
  <c r="L405" i="1" s="1"/>
  <c r="I407" i="1"/>
  <c r="I406" i="1" s="1"/>
  <c r="I405" i="1" s="1"/>
  <c r="F407" i="1"/>
  <c r="F406" i="1" s="1"/>
  <c r="F405" i="1" s="1"/>
  <c r="J502" i="2"/>
  <c r="J501" i="2" s="1"/>
  <c r="J500" i="2" s="1"/>
  <c r="G502" i="2"/>
  <c r="G501" i="2" s="1"/>
  <c r="G500" i="2" s="1"/>
  <c r="D502" i="2"/>
  <c r="D501" i="2" s="1"/>
  <c r="D500" i="2" s="1"/>
  <c r="L490" i="1"/>
  <c r="L489" i="1" s="1"/>
  <c r="L488" i="1" s="1"/>
  <c r="L487" i="1" s="1"/>
  <c r="I490" i="1"/>
  <c r="I489" i="1" s="1"/>
  <c r="I488" i="1" s="1"/>
  <c r="I487" i="1" s="1"/>
  <c r="J546" i="2"/>
  <c r="G546" i="2"/>
  <c r="D552" i="2"/>
  <c r="G552" i="2"/>
  <c r="J552" i="2"/>
  <c r="L375" i="1" l="1"/>
  <c r="I375" i="1"/>
  <c r="F375" i="1"/>
  <c r="D382" i="2"/>
  <c r="J382" i="2"/>
  <c r="G382" i="2"/>
  <c r="K37" i="8" l="1"/>
  <c r="G37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D164" i="2" l="1"/>
  <c r="F575" i="1"/>
  <c r="L81" i="1"/>
  <c r="I81" i="1"/>
  <c r="F81" i="1"/>
  <c r="L69" i="1"/>
  <c r="I69" i="1"/>
  <c r="F69" i="1"/>
  <c r="J63" i="2"/>
  <c r="G63" i="2"/>
  <c r="D63" i="2"/>
  <c r="J21" i="2"/>
  <c r="G21" i="2"/>
  <c r="D21" i="2"/>
  <c r="C34" i="8" l="1"/>
  <c r="C33" i="8" s="1"/>
  <c r="F33" i="8"/>
  <c r="F846" i="1" l="1"/>
  <c r="D576" i="2"/>
  <c r="J31" i="2" l="1"/>
  <c r="G31" i="2"/>
  <c r="D31" i="2"/>
  <c r="L480" i="1"/>
  <c r="I480" i="1"/>
  <c r="F480" i="1"/>
  <c r="F822" i="1"/>
  <c r="D568" i="2"/>
  <c r="L671" i="1" l="1"/>
  <c r="I671" i="1"/>
  <c r="F671" i="1"/>
  <c r="J96" i="2"/>
  <c r="G96" i="2"/>
  <c r="D96" i="2"/>
  <c r="I395" i="1" l="1"/>
  <c r="F395" i="1"/>
  <c r="G408" i="2"/>
  <c r="D408" i="2"/>
  <c r="J514" i="2"/>
  <c r="J513" i="2" s="1"/>
  <c r="J512" i="2" s="1"/>
  <c r="J499" i="2" s="1"/>
  <c r="E14" i="9" l="1"/>
  <c r="E13" i="9" s="1"/>
  <c r="E12" i="9" s="1"/>
  <c r="D14" i="9"/>
  <c r="D13" i="9" s="1"/>
  <c r="D12" i="9" s="1"/>
  <c r="C14" i="9"/>
  <c r="C13" i="9" s="1"/>
  <c r="C12" i="9" s="1"/>
  <c r="G96" i="8"/>
  <c r="F95" i="8"/>
  <c r="F94" i="8" s="1"/>
  <c r="C95" i="8"/>
  <c r="C94" i="8" s="1"/>
  <c r="M94" i="8"/>
  <c r="K94" i="8"/>
  <c r="G94" i="8"/>
  <c r="K93" i="8"/>
  <c r="H92" i="8"/>
  <c r="H29" i="8" s="1"/>
  <c r="H28" i="8" s="1"/>
  <c r="D92" i="8"/>
  <c r="D29" i="8" s="1"/>
  <c r="D28" i="8" s="1"/>
  <c r="M92" i="8"/>
  <c r="K92" i="8" s="1"/>
  <c r="J92" i="8"/>
  <c r="F92" i="8"/>
  <c r="K91" i="8"/>
  <c r="G91" i="8"/>
  <c r="C91" i="8"/>
  <c r="M90" i="8"/>
  <c r="K90" i="8" s="1"/>
  <c r="J90" i="8"/>
  <c r="G90" i="8" s="1"/>
  <c r="F90" i="8"/>
  <c r="C90" i="8" s="1"/>
  <c r="G70" i="8"/>
  <c r="C70" i="8"/>
  <c r="K36" i="8"/>
  <c r="K35" i="8" s="1"/>
  <c r="G36" i="8"/>
  <c r="C36" i="8"/>
  <c r="M35" i="8"/>
  <c r="L35" i="8"/>
  <c r="L29" i="8" s="1"/>
  <c r="L28" i="8" s="1"/>
  <c r="J35" i="8"/>
  <c r="I35" i="8"/>
  <c r="F35" i="8"/>
  <c r="E35" i="8"/>
  <c r="K31" i="8"/>
  <c r="K30" i="8" s="1"/>
  <c r="G31" i="8"/>
  <c r="G30" i="8" s="1"/>
  <c r="C31" i="8"/>
  <c r="C30" i="8" s="1"/>
  <c r="L20" i="8"/>
  <c r="K19" i="8"/>
  <c r="G19" i="8"/>
  <c r="C19" i="8"/>
  <c r="M18" i="8"/>
  <c r="K18" i="8" s="1"/>
  <c r="G18" i="8"/>
  <c r="C18" i="8"/>
  <c r="L17" i="8"/>
  <c r="K17" i="8" s="1"/>
  <c r="G17" i="8"/>
  <c r="C17" i="8"/>
  <c r="I15" i="8"/>
  <c r="H15" i="8"/>
  <c r="E15" i="8"/>
  <c r="D15" i="8"/>
  <c r="M29" i="8" l="1"/>
  <c r="M28" i="8" s="1"/>
  <c r="M20" i="8" s="1"/>
  <c r="M15" i="8" s="1"/>
  <c r="K29" i="8"/>
  <c r="K28" i="8" s="1"/>
  <c r="F29" i="8"/>
  <c r="F28" i="8" s="1"/>
  <c r="C20" i="8" s="1"/>
  <c r="C15" i="8" s="1"/>
  <c r="G35" i="8"/>
  <c r="C35" i="8"/>
  <c r="J29" i="8"/>
  <c r="J28" i="8" s="1"/>
  <c r="C93" i="8"/>
  <c r="G93" i="8"/>
  <c r="L15" i="8"/>
  <c r="E92" i="8"/>
  <c r="I92" i="8"/>
  <c r="G92" i="8" s="1"/>
  <c r="J20" i="8" l="1"/>
  <c r="G20" i="8" s="1"/>
  <c r="G15" i="8" s="1"/>
  <c r="G29" i="8"/>
  <c r="G28" i="8" s="1"/>
  <c r="J15" i="8"/>
  <c r="K20" i="8"/>
  <c r="K15" i="8" s="1"/>
  <c r="F15" i="8"/>
  <c r="E29" i="8"/>
  <c r="E28" i="8" s="1"/>
  <c r="C92" i="8"/>
  <c r="I29" i="8"/>
  <c r="I28" i="8" s="1"/>
  <c r="C29" i="8" l="1"/>
  <c r="C28" i="8" s="1"/>
  <c r="J605" i="2" l="1"/>
  <c r="G605" i="2"/>
  <c r="D605" i="2"/>
  <c r="J603" i="2"/>
  <c r="G603" i="2"/>
  <c r="D603" i="2"/>
  <c r="J601" i="2"/>
  <c r="G601" i="2"/>
  <c r="D601" i="2"/>
  <c r="J599" i="2"/>
  <c r="G599" i="2"/>
  <c r="D599" i="2"/>
  <c r="J597" i="2"/>
  <c r="G597" i="2"/>
  <c r="D597" i="2"/>
  <c r="J595" i="2"/>
  <c r="G595" i="2"/>
  <c r="D595" i="2"/>
  <c r="J586" i="2"/>
  <c r="D586" i="2"/>
  <c r="G586" i="2"/>
  <c r="J584" i="2"/>
  <c r="G584" i="2"/>
  <c r="D584" i="2"/>
  <c r="J583" i="2"/>
  <c r="J582" i="2" s="1"/>
  <c r="G583" i="2"/>
  <c r="G582" i="2" s="1"/>
  <c r="D583" i="2"/>
  <c r="D582" i="2" s="1"/>
  <c r="J580" i="2"/>
  <c r="G580" i="2"/>
  <c r="D580" i="2"/>
  <c r="J578" i="2"/>
  <c r="G578" i="2"/>
  <c r="D578" i="2"/>
  <c r="J575" i="2"/>
  <c r="G575" i="2"/>
  <c r="D575" i="2"/>
  <c r="J571" i="2"/>
  <c r="G571" i="2"/>
  <c r="D571" i="2"/>
  <c r="J565" i="2"/>
  <c r="G565" i="2"/>
  <c r="D565" i="2"/>
  <c r="J563" i="2"/>
  <c r="G563" i="2"/>
  <c r="D563" i="2"/>
  <c r="J559" i="2"/>
  <c r="J558" i="2" s="1"/>
  <c r="G559" i="2"/>
  <c r="G558" i="2" s="1"/>
  <c r="D559" i="2"/>
  <c r="D558" i="2" s="1"/>
  <c r="J555" i="2"/>
  <c r="J554" i="2" s="1"/>
  <c r="J551" i="2" s="1"/>
  <c r="G555" i="2"/>
  <c r="G554" i="2" s="1"/>
  <c r="G551" i="2" s="1"/>
  <c r="D555" i="2"/>
  <c r="D554" i="2" s="1"/>
  <c r="D551" i="2" s="1"/>
  <c r="J542" i="2"/>
  <c r="J541" i="2" s="1"/>
  <c r="G542" i="2"/>
  <c r="G541" i="2" s="1"/>
  <c r="J537" i="2"/>
  <c r="J536" i="2" s="1"/>
  <c r="G537" i="2"/>
  <c r="G536" i="2" s="1"/>
  <c r="D537" i="2"/>
  <c r="D536" i="2" s="1"/>
  <c r="J534" i="2"/>
  <c r="G534" i="2"/>
  <c r="D534" i="2"/>
  <c r="J531" i="2"/>
  <c r="G531" i="2"/>
  <c r="D531" i="2"/>
  <c r="J530" i="2"/>
  <c r="J529" i="2" s="1"/>
  <c r="G530" i="2"/>
  <c r="G529" i="2" s="1"/>
  <c r="D530" i="2"/>
  <c r="D529" i="2" s="1"/>
  <c r="J525" i="2"/>
  <c r="G525" i="2"/>
  <c r="D525" i="2"/>
  <c r="J523" i="2"/>
  <c r="G523" i="2"/>
  <c r="D523" i="2"/>
  <c r="D522" i="2"/>
  <c r="D521" i="2" s="1"/>
  <c r="J521" i="2"/>
  <c r="G521" i="2"/>
  <c r="J519" i="2"/>
  <c r="G519" i="2"/>
  <c r="D519" i="2"/>
  <c r="G514" i="2"/>
  <c r="G513" i="2" s="1"/>
  <c r="G512" i="2" s="1"/>
  <c r="G499" i="2" s="1"/>
  <c r="D514" i="2"/>
  <c r="D513" i="2" s="1"/>
  <c r="D512" i="2" s="1"/>
  <c r="D499" i="2" s="1"/>
  <c r="D494" i="2"/>
  <c r="D493" i="2" s="1"/>
  <c r="D492" i="2" s="1"/>
  <c r="J490" i="2"/>
  <c r="J489" i="2" s="1"/>
  <c r="J488" i="2" s="1"/>
  <c r="G490" i="2"/>
  <c r="G489" i="2" s="1"/>
  <c r="G488" i="2" s="1"/>
  <c r="D490" i="2"/>
  <c r="D489" i="2" s="1"/>
  <c r="D488" i="2" s="1"/>
  <c r="J478" i="2"/>
  <c r="J477" i="2" s="1"/>
  <c r="J476" i="2" s="1"/>
  <c r="G478" i="2"/>
  <c r="G477" i="2" s="1"/>
  <c r="G476" i="2" s="1"/>
  <c r="D478" i="2"/>
  <c r="D477" i="2" s="1"/>
  <c r="D476" i="2" s="1"/>
  <c r="J474" i="2"/>
  <c r="J473" i="2" s="1"/>
  <c r="G474" i="2"/>
  <c r="G473" i="2" s="1"/>
  <c r="D474" i="2"/>
  <c r="D473" i="2" s="1"/>
  <c r="J471" i="2"/>
  <c r="G471" i="2"/>
  <c r="D471" i="2"/>
  <c r="J469" i="2"/>
  <c r="G469" i="2"/>
  <c r="D469" i="2"/>
  <c r="J466" i="2"/>
  <c r="J465" i="2" s="1"/>
  <c r="J464" i="2" s="1"/>
  <c r="G466" i="2"/>
  <c r="G465" i="2" s="1"/>
  <c r="G464" i="2" s="1"/>
  <c r="D466" i="2"/>
  <c r="D465" i="2" s="1"/>
  <c r="D462" i="2"/>
  <c r="D461" i="2" s="1"/>
  <c r="J457" i="2"/>
  <c r="J456" i="2" s="1"/>
  <c r="G457" i="2"/>
  <c r="G456" i="2" s="1"/>
  <c r="D457" i="2"/>
  <c r="D456" i="2" s="1"/>
  <c r="D447" i="2"/>
  <c r="J445" i="2"/>
  <c r="G445" i="2"/>
  <c r="D445" i="2"/>
  <c r="J443" i="2"/>
  <c r="G443" i="2"/>
  <c r="D443" i="2"/>
  <c r="D441" i="2"/>
  <c r="J438" i="2"/>
  <c r="J437" i="2" s="1"/>
  <c r="G438" i="2"/>
  <c r="G437" i="2" s="1"/>
  <c r="D438" i="2"/>
  <c r="D437" i="2" s="1"/>
  <c r="J435" i="2"/>
  <c r="G435" i="2"/>
  <c r="D435" i="2"/>
  <c r="J433" i="2"/>
  <c r="G433" i="2"/>
  <c r="D433" i="2"/>
  <c r="D430" i="2"/>
  <c r="J430" i="2"/>
  <c r="G430" i="2"/>
  <c r="J418" i="2"/>
  <c r="J417" i="2" s="1"/>
  <c r="G418" i="2"/>
  <c r="G417" i="2" s="1"/>
  <c r="D418" i="2"/>
  <c r="D417" i="2" s="1"/>
  <c r="J416" i="2"/>
  <c r="J415" i="2" s="1"/>
  <c r="J414" i="2" s="1"/>
  <c r="G416" i="2"/>
  <c r="G415" i="2" s="1"/>
  <c r="G414" i="2" s="1"/>
  <c r="D416" i="2"/>
  <c r="D415" i="2" s="1"/>
  <c r="D414" i="2" s="1"/>
  <c r="D412" i="2"/>
  <c r="D411" i="2" s="1"/>
  <c r="J408" i="2"/>
  <c r="J407" i="2" s="1"/>
  <c r="G407" i="2"/>
  <c r="D407" i="2"/>
  <c r="J405" i="2"/>
  <c r="G405" i="2"/>
  <c r="D405" i="2"/>
  <c r="J403" i="2"/>
  <c r="G403" i="2"/>
  <c r="D403" i="2"/>
  <c r="J400" i="2"/>
  <c r="D400" i="2"/>
  <c r="J398" i="2"/>
  <c r="G398" i="2"/>
  <c r="D398" i="2"/>
  <c r="J396" i="2"/>
  <c r="G396" i="2"/>
  <c r="D396" i="2"/>
  <c r="J394" i="2"/>
  <c r="G394" i="2"/>
  <c r="D394" i="2"/>
  <c r="D389" i="2"/>
  <c r="D388" i="2" s="1"/>
  <c r="D386" i="2"/>
  <c r="J381" i="2"/>
  <c r="J380" i="2" s="1"/>
  <c r="G381" i="2"/>
  <c r="G380" i="2" s="1"/>
  <c r="D380" i="2"/>
  <c r="J379" i="2"/>
  <c r="J378" i="2" s="1"/>
  <c r="G379" i="2"/>
  <c r="G378" i="2" s="1"/>
  <c r="D378" i="2"/>
  <c r="D375" i="2"/>
  <c r="D374" i="2" s="1"/>
  <c r="J368" i="2"/>
  <c r="J367" i="2" s="1"/>
  <c r="J366" i="2" s="1"/>
  <c r="J365" i="2" s="1"/>
  <c r="G368" i="2"/>
  <c r="G367" i="2" s="1"/>
  <c r="G366" i="2" s="1"/>
  <c r="G365" i="2" s="1"/>
  <c r="D368" i="2"/>
  <c r="D367" i="2" s="1"/>
  <c r="D366" i="2" s="1"/>
  <c r="D365" i="2" s="1"/>
  <c r="J362" i="2"/>
  <c r="G362" i="2"/>
  <c r="D362" i="2"/>
  <c r="J360" i="2"/>
  <c r="G360" i="2"/>
  <c r="D360" i="2"/>
  <c r="J358" i="2"/>
  <c r="G358" i="2"/>
  <c r="D358" i="2"/>
  <c r="J356" i="2"/>
  <c r="G356" i="2"/>
  <c r="D356" i="2"/>
  <c r="J353" i="2"/>
  <c r="J352" i="2" s="1"/>
  <c r="G353" i="2"/>
  <c r="G352" i="2" s="1"/>
  <c r="D353" i="2"/>
  <c r="D352" i="2" s="1"/>
  <c r="J345" i="2"/>
  <c r="J344" i="2" s="1"/>
  <c r="G345" i="2"/>
  <c r="G344" i="2" s="1"/>
  <c r="D345" i="2"/>
  <c r="D344" i="2" s="1"/>
  <c r="J342" i="2"/>
  <c r="G342" i="2"/>
  <c r="D342" i="2"/>
  <c r="J340" i="2"/>
  <c r="G340" i="2"/>
  <c r="D340" i="2"/>
  <c r="J335" i="2"/>
  <c r="G335" i="2"/>
  <c r="D335" i="2"/>
  <c r="J332" i="2"/>
  <c r="G332" i="2"/>
  <c r="D332" i="2"/>
  <c r="J328" i="2"/>
  <c r="J327" i="2" s="1"/>
  <c r="G328" i="2"/>
  <c r="G327" i="2" s="1"/>
  <c r="D328" i="2"/>
  <c r="D327" i="2" s="1"/>
  <c r="J323" i="2"/>
  <c r="G323" i="2"/>
  <c r="D323" i="2"/>
  <c r="J321" i="2"/>
  <c r="G321" i="2"/>
  <c r="D321" i="2"/>
  <c r="J316" i="2"/>
  <c r="G316" i="2"/>
  <c r="D316" i="2"/>
  <c r="J313" i="2"/>
  <c r="J312" i="2" s="1"/>
  <c r="G313" i="2"/>
  <c r="G312" i="2" s="1"/>
  <c r="D313" i="2"/>
  <c r="D312" i="2" s="1"/>
  <c r="J307" i="2"/>
  <c r="J306" i="2" s="1"/>
  <c r="G307" i="2"/>
  <c r="G306" i="2" s="1"/>
  <c r="D307" i="2"/>
  <c r="D306" i="2" s="1"/>
  <c r="J304" i="2"/>
  <c r="G305" i="2"/>
  <c r="G304" i="2" s="1"/>
  <c r="D304" i="2"/>
  <c r="J300" i="2"/>
  <c r="J299" i="2" s="1"/>
  <c r="J298" i="2" s="1"/>
  <c r="G300" i="2"/>
  <c r="G299" i="2" s="1"/>
  <c r="G298" i="2" s="1"/>
  <c r="D300" i="2"/>
  <c r="D299" i="2" s="1"/>
  <c r="D298" i="2" s="1"/>
  <c r="J295" i="2"/>
  <c r="J294" i="2" s="1"/>
  <c r="G295" i="2"/>
  <c r="G294" i="2" s="1"/>
  <c r="D295" i="2"/>
  <c r="D294" i="2" s="1"/>
  <c r="G293" i="2"/>
  <c r="G292" i="2" s="1"/>
  <c r="J292" i="2"/>
  <c r="D292" i="2"/>
  <c r="J289" i="2"/>
  <c r="J288" i="2" s="1"/>
  <c r="J287" i="2" s="1"/>
  <c r="G288" i="2"/>
  <c r="G287" i="2" s="1"/>
  <c r="D288" i="2"/>
  <c r="D287" i="2" s="1"/>
  <c r="J286" i="2"/>
  <c r="J285" i="2" s="1"/>
  <c r="J284" i="2" s="1"/>
  <c r="G285" i="2"/>
  <c r="G284" i="2" s="1"/>
  <c r="D285" i="2"/>
  <c r="D284" i="2" s="1"/>
  <c r="D275" i="2"/>
  <c r="D273" i="2"/>
  <c r="D272" i="2" s="1"/>
  <c r="D270" i="2"/>
  <c r="D267" i="2"/>
  <c r="D266" i="2" s="1"/>
  <c r="D265" i="2" s="1"/>
  <c r="G264" i="2"/>
  <c r="J262" i="2"/>
  <c r="J261" i="2" s="1"/>
  <c r="J258" i="2" s="1"/>
  <c r="G262" i="2"/>
  <c r="G261" i="2" s="1"/>
  <c r="G258" i="2" s="1"/>
  <c r="D262" i="2"/>
  <c r="D261" i="2" s="1"/>
  <c r="J255" i="2"/>
  <c r="G255" i="2"/>
  <c r="G254" i="2"/>
  <c r="G253" i="2" s="1"/>
  <c r="J253" i="2"/>
  <c r="D253" i="2"/>
  <c r="G252" i="2"/>
  <c r="G251" i="2" s="1"/>
  <c r="J251" i="2"/>
  <c r="D251" i="2"/>
  <c r="J248" i="2"/>
  <c r="J247" i="2" s="1"/>
  <c r="G248" i="2"/>
  <c r="G247" i="2" s="1"/>
  <c r="D248" i="2"/>
  <c r="D247" i="2" s="1"/>
  <c r="J245" i="2"/>
  <c r="J244" i="2" s="1"/>
  <c r="G245" i="2"/>
  <c r="G244" i="2" s="1"/>
  <c r="D245" i="2"/>
  <c r="D244" i="2" s="1"/>
  <c r="J243" i="2"/>
  <c r="J242" i="2" s="1"/>
  <c r="G243" i="2"/>
  <c r="G242" i="2" s="1"/>
  <c r="D243" i="2"/>
  <c r="D242" i="2" s="1"/>
  <c r="J240" i="2"/>
  <c r="G240" i="2"/>
  <c r="D240" i="2"/>
  <c r="J238" i="2"/>
  <c r="J237" i="2" s="1"/>
  <c r="G238" i="2"/>
  <c r="G237" i="2" s="1"/>
  <c r="D238" i="2"/>
  <c r="D237" i="2" s="1"/>
  <c r="J232" i="2"/>
  <c r="J231" i="2" s="1"/>
  <c r="G232" i="2"/>
  <c r="G231" i="2" s="1"/>
  <c r="D232" i="2"/>
  <c r="D231" i="2" s="1"/>
  <c r="J228" i="2"/>
  <c r="J227" i="2" s="1"/>
  <c r="G228" i="2"/>
  <c r="G227" i="2" s="1"/>
  <c r="D228" i="2"/>
  <c r="D227" i="2" s="1"/>
  <c r="G226" i="2"/>
  <c r="G225" i="2" s="1"/>
  <c r="J225" i="2"/>
  <c r="D225" i="2"/>
  <c r="J223" i="2"/>
  <c r="G223" i="2"/>
  <c r="D223" i="2"/>
  <c r="G221" i="2"/>
  <c r="G220" i="2" s="1"/>
  <c r="J220" i="2"/>
  <c r="D220" i="2"/>
  <c r="J218" i="2"/>
  <c r="G218" i="2"/>
  <c r="D218" i="2"/>
  <c r="J216" i="2"/>
  <c r="G216" i="2"/>
  <c r="D216" i="2"/>
  <c r="D209" i="2"/>
  <c r="D208" i="2" s="1"/>
  <c r="D207" i="2" s="1"/>
  <c r="J207" i="2"/>
  <c r="J204" i="2"/>
  <c r="G204" i="2"/>
  <c r="D204" i="2"/>
  <c r="J202" i="2"/>
  <c r="G202" i="2"/>
  <c r="D202" i="2"/>
  <c r="J200" i="2"/>
  <c r="G200" i="2"/>
  <c r="D200" i="2"/>
  <c r="J195" i="2"/>
  <c r="J194" i="2" s="1"/>
  <c r="G195" i="2"/>
  <c r="G194" i="2" s="1"/>
  <c r="D195" i="2"/>
  <c r="D194" i="2" s="1"/>
  <c r="J192" i="2"/>
  <c r="G192" i="2"/>
  <c r="D192" i="2"/>
  <c r="J188" i="2"/>
  <c r="J187" i="2" s="1"/>
  <c r="J186" i="2" s="1"/>
  <c r="G188" i="2"/>
  <c r="G187" i="2" s="1"/>
  <c r="G186" i="2" s="1"/>
  <c r="D188" i="2"/>
  <c r="D187" i="2" s="1"/>
  <c r="D186" i="2" s="1"/>
  <c r="D163" i="2"/>
  <c r="J163" i="2"/>
  <c r="G163" i="2"/>
  <c r="J160" i="2"/>
  <c r="J159" i="2" s="1"/>
  <c r="J158" i="2" s="1"/>
  <c r="G160" i="2"/>
  <c r="G159" i="2" s="1"/>
  <c r="D160" i="2"/>
  <c r="D159" i="2" s="1"/>
  <c r="J154" i="2"/>
  <c r="G154" i="2"/>
  <c r="D154" i="2"/>
  <c r="J151" i="2"/>
  <c r="G151" i="2"/>
  <c r="D151" i="2"/>
  <c r="J148" i="2"/>
  <c r="G148" i="2"/>
  <c r="D148" i="2"/>
  <c r="J146" i="2"/>
  <c r="G146" i="2"/>
  <c r="D146" i="2"/>
  <c r="J140" i="2"/>
  <c r="G140" i="2"/>
  <c r="D140" i="2"/>
  <c r="J138" i="2"/>
  <c r="G138" i="2"/>
  <c r="D138" i="2"/>
  <c r="J136" i="2"/>
  <c r="G136" i="2"/>
  <c r="D136" i="2"/>
  <c r="J132" i="2"/>
  <c r="G132" i="2"/>
  <c r="D132" i="2"/>
  <c r="J130" i="2"/>
  <c r="G130" i="2"/>
  <c r="D130" i="2"/>
  <c r="J128" i="2"/>
  <c r="G128" i="2"/>
  <c r="D128" i="2"/>
  <c r="J126" i="2"/>
  <c r="G126" i="2"/>
  <c r="D126" i="2"/>
  <c r="J124" i="2"/>
  <c r="G124" i="2"/>
  <c r="D124" i="2"/>
  <c r="J122" i="2"/>
  <c r="G122" i="2"/>
  <c r="D122" i="2"/>
  <c r="J121" i="2"/>
  <c r="J120" i="2" s="1"/>
  <c r="G121" i="2"/>
  <c r="G120" i="2" s="1"/>
  <c r="D121" i="2"/>
  <c r="D120" i="2" s="1"/>
  <c r="J113" i="2"/>
  <c r="J112" i="2" s="1"/>
  <c r="G113" i="2"/>
  <c r="G112" i="2" s="1"/>
  <c r="D113" i="2"/>
  <c r="D112" i="2" s="1"/>
  <c r="J110" i="2"/>
  <c r="J109" i="2" s="1"/>
  <c r="G110" i="2"/>
  <c r="G109" i="2" s="1"/>
  <c r="D110" i="2"/>
  <c r="D109" i="2" s="1"/>
  <c r="D79" i="2"/>
  <c r="D78" i="2" s="1"/>
  <c r="J107" i="2"/>
  <c r="G107" i="2"/>
  <c r="D107" i="2"/>
  <c r="J105" i="2"/>
  <c r="G105" i="2"/>
  <c r="D105" i="2"/>
  <c r="J103" i="2"/>
  <c r="G103" i="2"/>
  <c r="D103" i="2"/>
  <c r="J101" i="2"/>
  <c r="G101" i="2"/>
  <c r="D101" i="2"/>
  <c r="J99" i="2"/>
  <c r="G99" i="2"/>
  <c r="D99" i="2"/>
  <c r="J97" i="2"/>
  <c r="G97" i="2"/>
  <c r="D97" i="2"/>
  <c r="J95" i="2"/>
  <c r="G95" i="2"/>
  <c r="D95" i="2"/>
  <c r="J93" i="2"/>
  <c r="G93" i="2"/>
  <c r="D93" i="2"/>
  <c r="J89" i="2"/>
  <c r="J88" i="2" s="1"/>
  <c r="G89" i="2"/>
  <c r="G88" i="2" s="1"/>
  <c r="D89" i="2"/>
  <c r="D88" i="2" s="1"/>
  <c r="J86" i="2"/>
  <c r="G86" i="2"/>
  <c r="D86" i="2"/>
  <c r="J84" i="2"/>
  <c r="G84" i="2"/>
  <c r="D84" i="2"/>
  <c r="J76" i="2"/>
  <c r="G76" i="2"/>
  <c r="D76" i="2"/>
  <c r="J74" i="2"/>
  <c r="G74" i="2"/>
  <c r="D74" i="2"/>
  <c r="J72" i="2"/>
  <c r="G72" i="2"/>
  <c r="D72" i="2"/>
  <c r="J69" i="2"/>
  <c r="G69" i="2"/>
  <c r="D69" i="2"/>
  <c r="J67" i="2"/>
  <c r="G67" i="2"/>
  <c r="D67" i="2"/>
  <c r="J62" i="2"/>
  <c r="G62" i="2"/>
  <c r="D62" i="2"/>
  <c r="J60" i="2"/>
  <c r="G60" i="2"/>
  <c r="D60" i="2"/>
  <c r="J55" i="2"/>
  <c r="G55" i="2"/>
  <c r="D55" i="2"/>
  <c r="J52" i="2"/>
  <c r="G52" i="2"/>
  <c r="D52" i="2"/>
  <c r="J50" i="2"/>
  <c r="G50" i="2"/>
  <c r="D50" i="2"/>
  <c r="J48" i="2"/>
  <c r="G48" i="2"/>
  <c r="D48" i="2"/>
  <c r="J45" i="2"/>
  <c r="G45" i="2"/>
  <c r="D45" i="2"/>
  <c r="J42" i="2"/>
  <c r="G42" i="2"/>
  <c r="D42" i="2"/>
  <c r="J40" i="2"/>
  <c r="G40" i="2"/>
  <c r="D40" i="2"/>
  <c r="J37" i="2"/>
  <c r="G37" i="2"/>
  <c r="D37" i="2"/>
  <c r="J34" i="2"/>
  <c r="G34" i="2"/>
  <c r="D34" i="2"/>
  <c r="J30" i="2"/>
  <c r="G30" i="2"/>
  <c r="D30" i="2"/>
  <c r="J27" i="2"/>
  <c r="G27" i="2"/>
  <c r="J25" i="2"/>
  <c r="G25" i="2"/>
  <c r="D25" i="2"/>
  <c r="G20" i="2"/>
  <c r="G19" i="2" s="1"/>
  <c r="J19" i="2"/>
  <c r="D19" i="2"/>
  <c r="J15" i="2"/>
  <c r="G15" i="2"/>
  <c r="D15" i="2"/>
  <c r="L743" i="1"/>
  <c r="I743" i="1"/>
  <c r="F743" i="1"/>
  <c r="F112" i="1"/>
  <c r="G158" i="2" l="1"/>
  <c r="D393" i="2"/>
  <c r="D158" i="2"/>
  <c r="G303" i="2"/>
  <c r="M19" i="2"/>
  <c r="D303" i="2"/>
  <c r="G570" i="2"/>
  <c r="J570" i="2"/>
  <c r="D570" i="2"/>
  <c r="D66" i="2"/>
  <c r="D65" i="2" s="1"/>
  <c r="D92" i="2"/>
  <c r="M193" i="2"/>
  <c r="M191" i="2" s="1"/>
  <c r="M18" i="2"/>
  <c r="M17" i="2"/>
  <c r="G14" i="2"/>
  <c r="D236" i="2"/>
  <c r="J236" i="2"/>
  <c r="M235" i="2"/>
  <c r="M234" i="2" s="1"/>
  <c r="J303" i="2"/>
  <c r="D83" i="2"/>
  <c r="D13" i="2"/>
  <c r="J14" i="2"/>
  <c r="D550" i="2"/>
  <c r="G12" i="2"/>
  <c r="D59" i="2"/>
  <c r="D58" i="2" s="1"/>
  <c r="G13" i="2"/>
  <c r="J550" i="2"/>
  <c r="J13" i="2"/>
  <c r="D12" i="2"/>
  <c r="J12" i="2"/>
  <c r="G550" i="2"/>
  <c r="D18" i="2"/>
  <c r="D17" i="2" s="1"/>
  <c r="G18" i="2"/>
  <c r="G17" i="2" s="1"/>
  <c r="J18" i="2"/>
  <c r="J17" i="2" s="1"/>
  <c r="D562" i="2"/>
  <c r="G539" i="2"/>
  <c r="G540" i="2"/>
  <c r="D429" i="2"/>
  <c r="D428" i="2" s="1"/>
  <c r="J539" i="2"/>
  <c r="J540" i="2"/>
  <c r="D311" i="2"/>
  <c r="D27" i="2"/>
  <c r="D250" i="2"/>
  <c r="G59" i="2"/>
  <c r="G58" i="2" s="1"/>
  <c r="J250" i="2"/>
  <c r="J157" i="2"/>
  <c r="D464" i="2"/>
  <c r="D455" i="2" s="1"/>
  <c r="D454" i="2" s="1"/>
  <c r="J59" i="2"/>
  <c r="J58" i="2" s="1"/>
  <c r="J66" i="2"/>
  <c r="J65" i="2" s="1"/>
  <c r="J311" i="2"/>
  <c r="G326" i="2"/>
  <c r="G325" i="2" s="1"/>
  <c r="J562" i="2"/>
  <c r="J24" i="2"/>
  <c r="J23" i="2" s="1"/>
  <c r="G191" i="2"/>
  <c r="D320" i="2"/>
  <c r="D319" i="2" s="1"/>
  <c r="J528" i="2"/>
  <c r="G320" i="2"/>
  <c r="G319" i="2" s="1"/>
  <c r="J326" i="2"/>
  <c r="J325" i="2" s="1"/>
  <c r="J339" i="2"/>
  <c r="J338" i="2" s="1"/>
  <c r="G66" i="2"/>
  <c r="G65" i="2" s="1"/>
  <c r="J239" i="2"/>
  <c r="J518" i="2"/>
  <c r="G24" i="2"/>
  <c r="G23" i="2" s="1"/>
  <c r="D528" i="2"/>
  <c r="J145" i="2"/>
  <c r="G199" i="2"/>
  <c r="D239" i="2"/>
  <c r="D326" i="2"/>
  <c r="D325" i="2" s="1"/>
  <c r="G339" i="2"/>
  <c r="G338" i="2" s="1"/>
  <c r="G373" i="2"/>
  <c r="J429" i="2"/>
  <c r="J428" i="2" s="1"/>
  <c r="G528" i="2"/>
  <c r="J455" i="2"/>
  <c r="J454" i="2" s="1"/>
  <c r="D119" i="2"/>
  <c r="D118" i="2" s="1"/>
  <c r="D145" i="2"/>
  <c r="G215" i="2"/>
  <c r="G214" i="2" s="1"/>
  <c r="G283" i="2"/>
  <c r="J291" i="2"/>
  <c r="J290" i="2" s="1"/>
  <c r="G291" i="2"/>
  <c r="G290" i="2" s="1"/>
  <c r="G311" i="2"/>
  <c r="J320" i="2"/>
  <c r="J319" i="2" s="1"/>
  <c r="J373" i="2"/>
  <c r="D33" i="2"/>
  <c r="D32" i="2" s="1"/>
  <c r="G33" i="2"/>
  <c r="G32" i="2" s="1"/>
  <c r="J135" i="2"/>
  <c r="J134" i="2" s="1"/>
  <c r="G150" i="2"/>
  <c r="J150" i="2"/>
  <c r="D157" i="2"/>
  <c r="G157" i="2"/>
  <c r="G250" i="2"/>
  <c r="D291" i="2"/>
  <c r="D290" i="2" s="1"/>
  <c r="G455" i="2"/>
  <c r="G454" i="2" s="1"/>
  <c r="G393" i="2"/>
  <c r="J33" i="2"/>
  <c r="J32" i="2" s="1"/>
  <c r="J83" i="2"/>
  <c r="D135" i="2"/>
  <c r="D134" i="2" s="1"/>
  <c r="G135" i="2"/>
  <c r="G134" i="2" s="1"/>
  <c r="G145" i="2"/>
  <c r="D191" i="2"/>
  <c r="G239" i="2"/>
  <c r="D283" i="2"/>
  <c r="G562" i="2"/>
  <c r="G92" i="2"/>
  <c r="J92" i="2"/>
  <c r="D150" i="2"/>
  <c r="D215" i="2"/>
  <c r="D214" i="2" s="1"/>
  <c r="D518" i="2"/>
  <c r="G518" i="2"/>
  <c r="G83" i="2"/>
  <c r="G119" i="2"/>
  <c r="G118" i="2" s="1"/>
  <c r="J191" i="2"/>
  <c r="J199" i="2"/>
  <c r="D199" i="2"/>
  <c r="D264" i="2"/>
  <c r="D339" i="2"/>
  <c r="D338" i="2" s="1"/>
  <c r="D355" i="2"/>
  <c r="D351" i="2" s="1"/>
  <c r="G355" i="2"/>
  <c r="G351" i="2" s="1"/>
  <c r="J355" i="2"/>
  <c r="J351" i="2" s="1"/>
  <c r="J393" i="2"/>
  <c r="G429" i="2"/>
  <c r="G428" i="2" s="1"/>
  <c r="J119" i="2"/>
  <c r="J118" i="2" s="1"/>
  <c r="G236" i="2"/>
  <c r="D373" i="2"/>
  <c r="J215" i="2"/>
  <c r="J214" i="2" s="1"/>
  <c r="J283" i="2"/>
  <c r="J372" i="2" l="1"/>
  <c r="G372" i="2"/>
  <c r="M16" i="2"/>
  <c r="G190" i="2"/>
  <c r="D24" i="2"/>
  <c r="D23" i="2" s="1"/>
  <c r="D16" i="2" s="1"/>
  <c r="D14" i="2"/>
  <c r="G517" i="2"/>
  <c r="D561" i="2"/>
  <c r="J561" i="2"/>
  <c r="D318" i="2"/>
  <c r="G364" i="2"/>
  <c r="G144" i="2"/>
  <c r="D302" i="2"/>
  <c r="J337" i="2"/>
  <c r="J318" i="2"/>
  <c r="G318" i="2"/>
  <c r="G235" i="2"/>
  <c r="G234" i="2" s="1"/>
  <c r="J302" i="2"/>
  <c r="G561" i="2"/>
  <c r="G16" i="2"/>
  <c r="J190" i="2"/>
  <c r="D190" i="2"/>
  <c r="J517" i="2"/>
  <c r="J16" i="2"/>
  <c r="D235" i="2"/>
  <c r="D234" i="2" s="1"/>
  <c r="J144" i="2"/>
  <c r="D372" i="2"/>
  <c r="D337" i="2"/>
  <c r="D82" i="2"/>
  <c r="J82" i="2"/>
  <c r="G337" i="2"/>
  <c r="J235" i="2"/>
  <c r="J234" i="2" s="1"/>
  <c r="D517" i="2"/>
  <c r="D144" i="2"/>
  <c r="G82" i="2"/>
  <c r="G302" i="2"/>
  <c r="D64" i="2" l="1"/>
  <c r="G64" i="2"/>
  <c r="G11" i="2" s="1"/>
  <c r="G10" i="2" s="1"/>
  <c r="D364" i="2"/>
  <c r="J364" i="2"/>
  <c r="J64" i="2"/>
  <c r="D11" i="2" l="1"/>
  <c r="D10" i="2" s="1"/>
  <c r="J11" i="2"/>
  <c r="G618" i="2"/>
  <c r="L73" i="1"/>
  <c r="I73" i="1"/>
  <c r="F73" i="1"/>
  <c r="D16" i="9" l="1"/>
  <c r="D11" i="9" s="1"/>
  <c r="D10" i="9" s="1"/>
  <c r="D20" i="9" s="1"/>
  <c r="J618" i="2"/>
  <c r="J10" i="2"/>
  <c r="D618" i="2"/>
  <c r="L676" i="1"/>
  <c r="I676" i="1"/>
  <c r="F676" i="1"/>
  <c r="L437" i="1"/>
  <c r="C18" i="9" l="1"/>
  <c r="C17" i="9" s="1"/>
  <c r="C11" i="9" s="1"/>
  <c r="C10" i="9" s="1"/>
  <c r="C20" i="9" s="1"/>
  <c r="D18" i="9"/>
  <c r="E17" i="9"/>
  <c r="D17" i="9"/>
  <c r="I419" i="1"/>
  <c r="I418" i="1"/>
  <c r="L694" i="1"/>
  <c r="L693" i="1" s="1"/>
  <c r="I694" i="1"/>
  <c r="I693" i="1" s="1"/>
  <c r="L85" i="1"/>
  <c r="L84" i="1" s="1"/>
  <c r="L299" i="1"/>
  <c r="I299" i="1"/>
  <c r="F299" i="1"/>
  <c r="I630" i="1"/>
  <c r="F630" i="1"/>
  <c r="E18" i="9" l="1"/>
  <c r="E16" i="9"/>
  <c r="E11" i="9" s="1"/>
  <c r="E10" i="9" s="1"/>
  <c r="E20" i="9" s="1"/>
  <c r="F453" i="1"/>
  <c r="F756" i="1"/>
  <c r="F755" i="1" s="1"/>
  <c r="F288" i="1"/>
  <c r="F287" i="1" s="1"/>
  <c r="F286" i="1" s="1"/>
  <c r="F285" i="1" s="1"/>
  <c r="L295" i="1" l="1"/>
  <c r="I295" i="1"/>
  <c r="F295" i="1"/>
  <c r="F399" i="1"/>
  <c r="F398" i="1" s="1"/>
  <c r="I394" i="1"/>
  <c r="F394" i="1"/>
  <c r="F218" i="1"/>
  <c r="L221" i="1"/>
  <c r="I221" i="1"/>
  <c r="F221" i="1"/>
  <c r="F225" i="1"/>
  <c r="F224" i="1" s="1"/>
  <c r="L102" i="1"/>
  <c r="I102" i="1"/>
  <c r="F102" i="1"/>
  <c r="F780" i="1" l="1"/>
  <c r="F763" i="1"/>
  <c r="F753" i="1"/>
  <c r="F752" i="1" s="1"/>
  <c r="I699" i="1" l="1"/>
  <c r="I698" i="1" s="1"/>
  <c r="L699" i="1"/>
  <c r="F571" i="1"/>
  <c r="F570" i="1" s="1"/>
  <c r="L554" i="1"/>
  <c r="I554" i="1"/>
  <c r="F554" i="1"/>
  <c r="I499" i="1"/>
  <c r="I498" i="1" s="1"/>
  <c r="F438" i="1"/>
  <c r="F437" i="1" s="1"/>
  <c r="F336" i="1"/>
  <c r="F430" i="1"/>
  <c r="L392" i="1"/>
  <c r="I392" i="1"/>
  <c r="F392" i="1"/>
  <c r="I390" i="1"/>
  <c r="F373" i="1"/>
  <c r="F372" i="1" s="1"/>
  <c r="F370" i="1"/>
  <c r="F334" i="1"/>
  <c r="F327" i="1"/>
  <c r="F326" i="1" s="1"/>
  <c r="F322" i="1"/>
  <c r="F302" i="1"/>
  <c r="F301" i="1" s="1"/>
  <c r="F259" i="1"/>
  <c r="F258" i="1" s="1"/>
  <c r="L152" i="1"/>
  <c r="I152" i="1"/>
  <c r="L155" i="1"/>
  <c r="I155" i="1"/>
  <c r="F155" i="1"/>
  <c r="L124" i="1"/>
  <c r="I124" i="1"/>
  <c r="F124" i="1"/>
  <c r="I151" i="1" l="1"/>
  <c r="L151" i="1"/>
  <c r="L80" i="1" l="1"/>
  <c r="L78" i="1"/>
  <c r="L44" i="1"/>
  <c r="I44" i="1"/>
  <c r="F44" i="1"/>
  <c r="F30" i="1"/>
  <c r="I30" i="1"/>
  <c r="L30" i="1"/>
  <c r="F18" i="1" l="1"/>
  <c r="F17" i="1" s="1"/>
  <c r="F16" i="1" s="1"/>
  <c r="F15" i="1" s="1"/>
  <c r="F14" i="1" s="1"/>
  <c r="F13" i="1" s="1"/>
  <c r="I18" i="1"/>
  <c r="I17" i="1" s="1"/>
  <c r="I16" i="1" s="1"/>
  <c r="I15" i="1" s="1"/>
  <c r="I14" i="1" s="1"/>
  <c r="I13" i="1" s="1"/>
  <c r="L18" i="1"/>
  <c r="L17" i="1" s="1"/>
  <c r="L16" i="1" s="1"/>
  <c r="L15" i="1" s="1"/>
  <c r="L14" i="1" s="1"/>
  <c r="L13" i="1" s="1"/>
  <c r="F25" i="1"/>
  <c r="F24" i="1" s="1"/>
  <c r="F23" i="1" s="1"/>
  <c r="I25" i="1"/>
  <c r="I24" i="1" s="1"/>
  <c r="I23" i="1" s="1"/>
  <c r="L25" i="1"/>
  <c r="L24" i="1" s="1"/>
  <c r="L23" i="1" s="1"/>
  <c r="F33" i="1"/>
  <c r="I33" i="1"/>
  <c r="L33" i="1"/>
  <c r="F36" i="1"/>
  <c r="I36" i="1"/>
  <c r="L36" i="1"/>
  <c r="F38" i="1"/>
  <c r="I38" i="1"/>
  <c r="L38" i="1"/>
  <c r="F41" i="1"/>
  <c r="I41" i="1"/>
  <c r="L41" i="1"/>
  <c r="F48" i="1"/>
  <c r="F47" i="1" s="1"/>
  <c r="F46" i="1" s="1"/>
  <c r="I48" i="1"/>
  <c r="I47" i="1" s="1"/>
  <c r="I46" i="1" s="1"/>
  <c r="L48" i="1"/>
  <c r="L47" i="1" s="1"/>
  <c r="L46" i="1" s="1"/>
  <c r="F53" i="1"/>
  <c r="I53" i="1"/>
  <c r="L53" i="1"/>
  <c r="F60" i="1"/>
  <c r="F59" i="1" s="1"/>
  <c r="F58" i="1" s="1"/>
  <c r="F57" i="1" s="1"/>
  <c r="F56" i="1" s="1"/>
  <c r="F55" i="1" s="1"/>
  <c r="I60" i="1"/>
  <c r="I59" i="1" s="1"/>
  <c r="I58" i="1" s="1"/>
  <c r="I57" i="1" s="1"/>
  <c r="I56" i="1" s="1"/>
  <c r="I55" i="1" s="1"/>
  <c r="L60" i="1"/>
  <c r="L59" i="1" s="1"/>
  <c r="L58" i="1" s="1"/>
  <c r="L57" i="1" s="1"/>
  <c r="L56" i="1" s="1"/>
  <c r="L55" i="1" s="1"/>
  <c r="F67" i="1"/>
  <c r="F66" i="1" s="1"/>
  <c r="F65" i="1" s="1"/>
  <c r="L67" i="1"/>
  <c r="L66" i="1" s="1"/>
  <c r="L65" i="1" s="1"/>
  <c r="I67" i="1"/>
  <c r="I66" i="1" s="1"/>
  <c r="I65" i="1" s="1"/>
  <c r="F72" i="1"/>
  <c r="F71" i="1" s="1"/>
  <c r="I72" i="1"/>
  <c r="I71" i="1" s="1"/>
  <c r="L72" i="1"/>
  <c r="L71" i="1" s="1"/>
  <c r="L77" i="1"/>
  <c r="L76" i="1" s="1"/>
  <c r="F78" i="1"/>
  <c r="I78" i="1"/>
  <c r="F80" i="1"/>
  <c r="I80" i="1"/>
  <c r="L83" i="1"/>
  <c r="L82" i="1" s="1"/>
  <c r="F85" i="1"/>
  <c r="F84" i="1" s="1"/>
  <c r="F83" i="1" s="1"/>
  <c r="F82" i="1" s="1"/>
  <c r="I85" i="1"/>
  <c r="I84" i="1" s="1"/>
  <c r="I83" i="1" s="1"/>
  <c r="I82" i="1" s="1"/>
  <c r="F90" i="1"/>
  <c r="I90" i="1"/>
  <c r="L90" i="1"/>
  <c r="F94" i="1"/>
  <c r="I95" i="1"/>
  <c r="L95" i="1"/>
  <c r="F98" i="1"/>
  <c r="I98" i="1"/>
  <c r="L98" i="1"/>
  <c r="F100" i="1"/>
  <c r="I100" i="1"/>
  <c r="L100" i="1"/>
  <c r="F111" i="1"/>
  <c r="F110" i="1" s="1"/>
  <c r="F109" i="1" s="1"/>
  <c r="F108" i="1" s="1"/>
  <c r="F107" i="1" s="1"/>
  <c r="F106" i="1" s="1"/>
  <c r="I112" i="1"/>
  <c r="I111" i="1" s="1"/>
  <c r="I110" i="1" s="1"/>
  <c r="I109" i="1" s="1"/>
  <c r="I108" i="1" s="1"/>
  <c r="I107" i="1" s="1"/>
  <c r="I106" i="1" s="1"/>
  <c r="L112" i="1"/>
  <c r="L111" i="1" s="1"/>
  <c r="L110" i="1" s="1"/>
  <c r="L109" i="1" s="1"/>
  <c r="L108" i="1" s="1"/>
  <c r="L107" i="1" s="1"/>
  <c r="L106" i="1" s="1"/>
  <c r="F120" i="1"/>
  <c r="I120" i="1"/>
  <c r="L120" i="1"/>
  <c r="F122" i="1"/>
  <c r="I122" i="1"/>
  <c r="L122" i="1"/>
  <c r="F126" i="1"/>
  <c r="I126" i="1"/>
  <c r="L126" i="1"/>
  <c r="F133" i="1"/>
  <c r="I133" i="1"/>
  <c r="L133" i="1"/>
  <c r="F135" i="1"/>
  <c r="I135" i="1"/>
  <c r="L135" i="1"/>
  <c r="F138" i="1"/>
  <c r="I138" i="1"/>
  <c r="L138" i="1"/>
  <c r="F145" i="1"/>
  <c r="I145" i="1"/>
  <c r="L145" i="1"/>
  <c r="F147" i="1"/>
  <c r="I147" i="1"/>
  <c r="L147" i="1"/>
  <c r="F152" i="1"/>
  <c r="F151" i="1" s="1"/>
  <c r="F157" i="1"/>
  <c r="I157" i="1"/>
  <c r="L157" i="1"/>
  <c r="F160" i="1"/>
  <c r="I160" i="1"/>
  <c r="L160" i="1"/>
  <c r="F164" i="1"/>
  <c r="F163" i="1" s="1"/>
  <c r="F162" i="1" s="1"/>
  <c r="I164" i="1"/>
  <c r="I163" i="1" s="1"/>
  <c r="I162" i="1" s="1"/>
  <c r="L164" i="1"/>
  <c r="L163" i="1" s="1"/>
  <c r="L162" i="1" s="1"/>
  <c r="F172" i="1"/>
  <c r="F171" i="1" s="1"/>
  <c r="I172" i="1"/>
  <c r="I171" i="1" s="1"/>
  <c r="L172" i="1"/>
  <c r="L171" i="1" s="1"/>
  <c r="F175" i="1"/>
  <c r="I175" i="1"/>
  <c r="L175" i="1"/>
  <c r="F177" i="1"/>
  <c r="I177" i="1"/>
  <c r="L177" i="1"/>
  <c r="F179" i="1"/>
  <c r="I179" i="1"/>
  <c r="L179" i="1"/>
  <c r="F181" i="1"/>
  <c r="I181" i="1"/>
  <c r="L181" i="1"/>
  <c r="F186" i="1"/>
  <c r="F185" i="1" s="1"/>
  <c r="F184" i="1" s="1"/>
  <c r="F183" i="1" s="1"/>
  <c r="I186" i="1"/>
  <c r="I185" i="1" s="1"/>
  <c r="I184" i="1" s="1"/>
  <c r="I183" i="1" s="1"/>
  <c r="L186" i="1"/>
  <c r="L185" i="1" s="1"/>
  <c r="L184" i="1" s="1"/>
  <c r="L183" i="1" s="1"/>
  <c r="F190" i="1"/>
  <c r="F189" i="1" s="1"/>
  <c r="F188" i="1" s="1"/>
  <c r="I190" i="1"/>
  <c r="I189" i="1" s="1"/>
  <c r="I188" i="1" s="1"/>
  <c r="L190" i="1"/>
  <c r="L189" i="1" s="1"/>
  <c r="L188" i="1" s="1"/>
  <c r="F197" i="1"/>
  <c r="F196" i="1" s="1"/>
  <c r="F195" i="1" s="1"/>
  <c r="F194" i="1" s="1"/>
  <c r="L197" i="1"/>
  <c r="L196" i="1" s="1"/>
  <c r="L195" i="1" s="1"/>
  <c r="L194" i="1" s="1"/>
  <c r="I197" i="1"/>
  <c r="I196" i="1" s="1"/>
  <c r="I195" i="1" s="1"/>
  <c r="I194" i="1" s="1"/>
  <c r="F204" i="1"/>
  <c r="F203" i="1" s="1"/>
  <c r="I204" i="1"/>
  <c r="I203" i="1" s="1"/>
  <c r="L204" i="1"/>
  <c r="L203" i="1" s="1"/>
  <c r="F209" i="1"/>
  <c r="F208" i="1" s="1"/>
  <c r="I209" i="1"/>
  <c r="I208" i="1" s="1"/>
  <c r="L209" i="1"/>
  <c r="L208" i="1" s="1"/>
  <c r="F212" i="1"/>
  <c r="F211" i="1" s="1"/>
  <c r="I212" i="1"/>
  <c r="L212" i="1"/>
  <c r="F213" i="1"/>
  <c r="I213" i="1"/>
  <c r="L213" i="1"/>
  <c r="I216" i="1"/>
  <c r="L216" i="1"/>
  <c r="I218" i="1"/>
  <c r="L218" i="1"/>
  <c r="F220" i="1"/>
  <c r="I220" i="1"/>
  <c r="L220" i="1"/>
  <c r="F223" i="1"/>
  <c r="I225" i="1"/>
  <c r="I224" i="1" s="1"/>
  <c r="I223" i="1" s="1"/>
  <c r="F237" i="1"/>
  <c r="F236" i="1" s="1"/>
  <c r="F235" i="1" s="1"/>
  <c r="I237" i="1"/>
  <c r="I236" i="1" s="1"/>
  <c r="I235" i="1" s="1"/>
  <c r="L237" i="1"/>
  <c r="L236" i="1" s="1"/>
  <c r="L235" i="1" s="1"/>
  <c r="F246" i="1"/>
  <c r="F245" i="1" s="1"/>
  <c r="I246" i="1"/>
  <c r="I245" i="1" s="1"/>
  <c r="L246" i="1"/>
  <c r="L245" i="1" s="1"/>
  <c r="F249" i="1"/>
  <c r="F248" i="1" s="1"/>
  <c r="I249" i="1"/>
  <c r="I248" i="1" s="1"/>
  <c r="L249" i="1"/>
  <c r="L248" i="1" s="1"/>
  <c r="F254" i="1"/>
  <c r="I254" i="1"/>
  <c r="L254" i="1"/>
  <c r="F256" i="1"/>
  <c r="I256" i="1"/>
  <c r="L256" i="1"/>
  <c r="F267" i="1"/>
  <c r="I267" i="1"/>
  <c r="L267" i="1"/>
  <c r="I269" i="1"/>
  <c r="L269" i="1"/>
  <c r="F270" i="1"/>
  <c r="F269" i="1" s="1"/>
  <c r="I270" i="1"/>
  <c r="L270" i="1"/>
  <c r="I273" i="1"/>
  <c r="L273" i="1"/>
  <c r="F274" i="1"/>
  <c r="F273" i="1" s="1"/>
  <c r="F278" i="1"/>
  <c r="F277" i="1" s="1"/>
  <c r="F276" i="1" s="1"/>
  <c r="I278" i="1"/>
  <c r="I277" i="1" s="1"/>
  <c r="I276" i="1" s="1"/>
  <c r="L278" i="1"/>
  <c r="L277" i="1" s="1"/>
  <c r="L276" i="1" s="1"/>
  <c r="F293" i="1"/>
  <c r="I293" i="1"/>
  <c r="L293" i="1"/>
  <c r="F297" i="1"/>
  <c r="I297" i="1"/>
  <c r="L297" i="1"/>
  <c r="I302" i="1"/>
  <c r="I301" i="1" s="1"/>
  <c r="F307" i="1"/>
  <c r="F306" i="1" s="1"/>
  <c r="F305" i="1" s="1"/>
  <c r="I309" i="1"/>
  <c r="I308" i="1" s="1"/>
  <c r="I307" i="1" s="1"/>
  <c r="I306" i="1" s="1"/>
  <c r="I305" i="1" s="1"/>
  <c r="L309" i="1"/>
  <c r="L308" i="1" s="1"/>
  <c r="L307" i="1" s="1"/>
  <c r="L306" i="1" s="1"/>
  <c r="L305" i="1" s="1"/>
  <c r="L315" i="1"/>
  <c r="L314" i="1" s="1"/>
  <c r="F316" i="1"/>
  <c r="F315" i="1" s="1"/>
  <c r="F314" i="1" s="1"/>
  <c r="I316" i="1"/>
  <c r="I315" i="1" s="1"/>
  <c r="I314" i="1" s="1"/>
  <c r="F320" i="1"/>
  <c r="I322" i="1"/>
  <c r="L322" i="1"/>
  <c r="I324" i="1"/>
  <c r="L324" i="1"/>
  <c r="F324" i="1"/>
  <c r="I327" i="1"/>
  <c r="I326" i="1" s="1"/>
  <c r="F330" i="1"/>
  <c r="F332" i="1"/>
  <c r="I332" i="1"/>
  <c r="L332" i="1"/>
  <c r="I334" i="1"/>
  <c r="F353" i="1"/>
  <c r="F352" i="1" s="1"/>
  <c r="I353" i="1"/>
  <c r="I352" i="1" s="1"/>
  <c r="L353" i="1"/>
  <c r="L352" i="1" s="1"/>
  <c r="F354" i="1"/>
  <c r="I354" i="1"/>
  <c r="L354" i="1"/>
  <c r="F361" i="1"/>
  <c r="F360" i="1" s="1"/>
  <c r="I364" i="1"/>
  <c r="L364" i="1"/>
  <c r="F364" i="1"/>
  <c r="I366" i="1"/>
  <c r="L366" i="1"/>
  <c r="F366" i="1"/>
  <c r="F388" i="1"/>
  <c r="I388" i="1"/>
  <c r="I387" i="1" s="1"/>
  <c r="L388" i="1"/>
  <c r="L387" i="1" s="1"/>
  <c r="F390" i="1"/>
  <c r="F402" i="1"/>
  <c r="F401" i="1" s="1"/>
  <c r="I402" i="1"/>
  <c r="I401" i="1" s="1"/>
  <c r="L402" i="1"/>
  <c r="L401" i="1" s="1"/>
  <c r="F418" i="1"/>
  <c r="F417" i="1" s="1"/>
  <c r="F404" i="1" s="1"/>
  <c r="I417" i="1"/>
  <c r="I404" i="1" s="1"/>
  <c r="L418" i="1"/>
  <c r="L417" i="1" s="1"/>
  <c r="L404" i="1" s="1"/>
  <c r="F419" i="1"/>
  <c r="L419" i="1"/>
  <c r="F428" i="1"/>
  <c r="F436" i="1"/>
  <c r="F435" i="1" s="1"/>
  <c r="F434" i="1" s="1"/>
  <c r="F433" i="1" s="1"/>
  <c r="I438" i="1"/>
  <c r="I437" i="1" s="1"/>
  <c r="L452" i="1"/>
  <c r="L451" i="1" s="1"/>
  <c r="L450" i="1" s="1"/>
  <c r="L449" i="1" s="1"/>
  <c r="L448" i="1" s="1"/>
  <c r="L447" i="1" s="1"/>
  <c r="F457" i="1"/>
  <c r="F456" i="1" s="1"/>
  <c r="F452" i="1" s="1"/>
  <c r="I457" i="1"/>
  <c r="I456" i="1" s="1"/>
  <c r="I452" i="1" s="1"/>
  <c r="I451" i="1" s="1"/>
  <c r="I450" i="1" s="1"/>
  <c r="I449" i="1" s="1"/>
  <c r="I448" i="1" s="1"/>
  <c r="I447" i="1" s="1"/>
  <c r="F479" i="1"/>
  <c r="F478" i="1" s="1"/>
  <c r="F477" i="1" s="1"/>
  <c r="F476" i="1" s="1"/>
  <c r="F475" i="1" s="1"/>
  <c r="F474" i="1" s="1"/>
  <c r="I479" i="1"/>
  <c r="I478" i="1" s="1"/>
  <c r="I477" i="1" s="1"/>
  <c r="I476" i="1" s="1"/>
  <c r="I475" i="1" s="1"/>
  <c r="I474" i="1" s="1"/>
  <c r="L479" i="1"/>
  <c r="L478" i="1" s="1"/>
  <c r="L477" i="1" s="1"/>
  <c r="L476" i="1" s="1"/>
  <c r="L475" i="1" s="1"/>
  <c r="L474" i="1" s="1"/>
  <c r="F485" i="1"/>
  <c r="F484" i="1" s="1"/>
  <c r="F483" i="1" s="1"/>
  <c r="F482" i="1" s="1"/>
  <c r="I485" i="1"/>
  <c r="I484" i="1" s="1"/>
  <c r="I483" i="1" s="1"/>
  <c r="I482" i="1" s="1"/>
  <c r="L485" i="1"/>
  <c r="L484" i="1" s="1"/>
  <c r="L483" i="1" s="1"/>
  <c r="L482" i="1" s="1"/>
  <c r="F496" i="1"/>
  <c r="I496" i="1"/>
  <c r="I495" i="1" s="1"/>
  <c r="L496" i="1"/>
  <c r="F499" i="1"/>
  <c r="F498" i="1" s="1"/>
  <c r="L499" i="1"/>
  <c r="L498" i="1" s="1"/>
  <c r="F504" i="1"/>
  <c r="F503" i="1" s="1"/>
  <c r="I504" i="1"/>
  <c r="I503" i="1" s="1"/>
  <c r="L504" i="1"/>
  <c r="L503" i="1" s="1"/>
  <c r="F510" i="1"/>
  <c r="F509" i="1" s="1"/>
  <c r="F508" i="1" s="1"/>
  <c r="F507" i="1" s="1"/>
  <c r="F506" i="1" s="1"/>
  <c r="I510" i="1"/>
  <c r="I509" i="1" s="1"/>
  <c r="I508" i="1" s="1"/>
  <c r="I507" i="1" s="1"/>
  <c r="I506" i="1" s="1"/>
  <c r="L510" i="1"/>
  <c r="L509" i="1" s="1"/>
  <c r="L508" i="1" s="1"/>
  <c r="L507" i="1" s="1"/>
  <c r="L506" i="1" s="1"/>
  <c r="F519" i="1"/>
  <c r="I519" i="1"/>
  <c r="L519" i="1"/>
  <c r="F521" i="1"/>
  <c r="I521" i="1"/>
  <c r="L521" i="1"/>
  <c r="F524" i="1"/>
  <c r="I524" i="1"/>
  <c r="L524" i="1"/>
  <c r="F532" i="1"/>
  <c r="F531" i="1" s="1"/>
  <c r="F530" i="1" s="1"/>
  <c r="I532" i="1"/>
  <c r="I531" i="1" s="1"/>
  <c r="I530" i="1" s="1"/>
  <c r="L532" i="1"/>
  <c r="L531" i="1" s="1"/>
  <c r="L530" i="1" s="1"/>
  <c r="F539" i="1"/>
  <c r="I539" i="1"/>
  <c r="L539" i="1"/>
  <c r="F541" i="1"/>
  <c r="I541" i="1"/>
  <c r="L541" i="1"/>
  <c r="F543" i="1"/>
  <c r="I543" i="1"/>
  <c r="L543" i="1"/>
  <c r="F544" i="1"/>
  <c r="I544" i="1"/>
  <c r="L544" i="1"/>
  <c r="F548" i="1"/>
  <c r="I548" i="1"/>
  <c r="L548" i="1"/>
  <c r="F550" i="1"/>
  <c r="I550" i="1"/>
  <c r="L550" i="1"/>
  <c r="F552" i="1"/>
  <c r="I552" i="1"/>
  <c r="L552" i="1"/>
  <c r="F556" i="1"/>
  <c r="I556" i="1"/>
  <c r="L556" i="1"/>
  <c r="F527" i="1"/>
  <c r="F526" i="1" s="1"/>
  <c r="I527" i="1"/>
  <c r="I526" i="1" s="1"/>
  <c r="L527" i="1"/>
  <c r="L526" i="1" s="1"/>
  <c r="F559" i="1"/>
  <c r="F558" i="1" s="1"/>
  <c r="I559" i="1"/>
  <c r="I558" i="1" s="1"/>
  <c r="L559" i="1"/>
  <c r="L558" i="1" s="1"/>
  <c r="F566" i="1"/>
  <c r="F565" i="1" s="1"/>
  <c r="F564" i="1" s="1"/>
  <c r="I566" i="1"/>
  <c r="I565" i="1" s="1"/>
  <c r="I564" i="1" s="1"/>
  <c r="L566" i="1"/>
  <c r="L565" i="1" s="1"/>
  <c r="L564" i="1" s="1"/>
  <c r="L569" i="1"/>
  <c r="L568" i="1" s="1"/>
  <c r="I571" i="1"/>
  <c r="I570" i="1" s="1"/>
  <c r="F574" i="1"/>
  <c r="I574" i="1"/>
  <c r="F611" i="1"/>
  <c r="I611" i="1"/>
  <c r="L611" i="1"/>
  <c r="F613" i="1"/>
  <c r="I613" i="1"/>
  <c r="L613" i="1"/>
  <c r="F620" i="1"/>
  <c r="F619" i="1" s="1"/>
  <c r="F618" i="1" s="1"/>
  <c r="F617" i="1" s="1"/>
  <c r="I620" i="1"/>
  <c r="I619" i="1" s="1"/>
  <c r="I618" i="1" s="1"/>
  <c r="I617" i="1" s="1"/>
  <c r="L620" i="1"/>
  <c r="L619" i="1" s="1"/>
  <c r="L618" i="1" s="1"/>
  <c r="L617" i="1" s="1"/>
  <c r="F626" i="1"/>
  <c r="I626" i="1"/>
  <c r="L626" i="1"/>
  <c r="F628" i="1"/>
  <c r="I628" i="1"/>
  <c r="L628" i="1"/>
  <c r="L630" i="1"/>
  <c r="F632" i="1"/>
  <c r="I632" i="1"/>
  <c r="L632" i="1"/>
  <c r="F634" i="1"/>
  <c r="I634" i="1"/>
  <c r="L634" i="1"/>
  <c r="F638" i="1"/>
  <c r="I638" i="1"/>
  <c r="L638" i="1"/>
  <c r="F640" i="1"/>
  <c r="I640" i="1"/>
  <c r="L640" i="1"/>
  <c r="F642" i="1"/>
  <c r="I642" i="1"/>
  <c r="L642" i="1"/>
  <c r="F648" i="1"/>
  <c r="I648" i="1"/>
  <c r="L648" i="1"/>
  <c r="F650" i="1"/>
  <c r="I650" i="1"/>
  <c r="L650" i="1"/>
  <c r="F654" i="1"/>
  <c r="F653" i="1" s="1"/>
  <c r="F652" i="1" s="1"/>
  <c r="I654" i="1"/>
  <c r="I653" i="1" s="1"/>
  <c r="I652" i="1" s="1"/>
  <c r="L654" i="1"/>
  <c r="L653" i="1" s="1"/>
  <c r="L652" i="1" s="1"/>
  <c r="F662" i="1"/>
  <c r="F661" i="1" s="1"/>
  <c r="F660" i="1" s="1"/>
  <c r="I662" i="1"/>
  <c r="I661" i="1" s="1"/>
  <c r="I660" i="1" s="1"/>
  <c r="L662" i="1"/>
  <c r="L661" i="1" s="1"/>
  <c r="L660" i="1" s="1"/>
  <c r="F666" i="1"/>
  <c r="I666" i="1"/>
  <c r="L666" i="1"/>
  <c r="F668" i="1"/>
  <c r="I668" i="1"/>
  <c r="L668" i="1"/>
  <c r="F670" i="1"/>
  <c r="I670" i="1"/>
  <c r="L670" i="1"/>
  <c r="F674" i="1"/>
  <c r="F673" i="1" s="1"/>
  <c r="I674" i="1"/>
  <c r="I673" i="1" s="1"/>
  <c r="L674" i="1"/>
  <c r="L673" i="1" s="1"/>
  <c r="F684" i="1"/>
  <c r="F683" i="1" s="1"/>
  <c r="F682" i="1" s="1"/>
  <c r="F681" i="1" s="1"/>
  <c r="F680" i="1" s="1"/>
  <c r="F679" i="1" s="1"/>
  <c r="I684" i="1"/>
  <c r="I683" i="1" s="1"/>
  <c r="I682" i="1" s="1"/>
  <c r="I681" i="1" s="1"/>
  <c r="I680" i="1" s="1"/>
  <c r="I679" i="1" s="1"/>
  <c r="L684" i="1"/>
  <c r="L683" i="1" s="1"/>
  <c r="L682" i="1" s="1"/>
  <c r="L681" i="1" s="1"/>
  <c r="L680" i="1" s="1"/>
  <c r="L679" i="1" s="1"/>
  <c r="F691" i="1"/>
  <c r="I691" i="1"/>
  <c r="I690" i="1" s="1"/>
  <c r="I689" i="1" s="1"/>
  <c r="L691" i="1"/>
  <c r="L690" i="1" s="1"/>
  <c r="F694" i="1"/>
  <c r="F693" i="1" s="1"/>
  <c r="F698" i="1"/>
  <c r="L698" i="1"/>
  <c r="F712" i="1"/>
  <c r="F711" i="1" s="1"/>
  <c r="F710" i="1" s="1"/>
  <c r="F709" i="1" s="1"/>
  <c r="F708" i="1" s="1"/>
  <c r="F707" i="1" s="1"/>
  <c r="I712" i="1"/>
  <c r="I711" i="1" s="1"/>
  <c r="I710" i="1" s="1"/>
  <c r="I709" i="1" s="1"/>
  <c r="I708" i="1" s="1"/>
  <c r="I707" i="1" s="1"/>
  <c r="L712" i="1"/>
  <c r="L711" i="1" s="1"/>
  <c r="L710" i="1" s="1"/>
  <c r="L709" i="1" s="1"/>
  <c r="L708" i="1" s="1"/>
  <c r="L707" i="1" s="1"/>
  <c r="L723" i="1"/>
  <c r="F723" i="1"/>
  <c r="I723" i="1"/>
  <c r="L726" i="1"/>
  <c r="L725" i="1" s="1"/>
  <c r="F726" i="1"/>
  <c r="F725" i="1" s="1"/>
  <c r="I726" i="1"/>
  <c r="I725" i="1" s="1"/>
  <c r="F734" i="1"/>
  <c r="F733" i="1" s="1"/>
  <c r="F732" i="1" s="1"/>
  <c r="F731" i="1" s="1"/>
  <c r="F730" i="1" s="1"/>
  <c r="F729" i="1" s="1"/>
  <c r="I734" i="1"/>
  <c r="I733" i="1" s="1"/>
  <c r="I732" i="1" s="1"/>
  <c r="I731" i="1" s="1"/>
  <c r="I730" i="1" s="1"/>
  <c r="I729" i="1" s="1"/>
  <c r="L734" i="1"/>
  <c r="L733" i="1" s="1"/>
  <c r="L732" i="1" s="1"/>
  <c r="L731" i="1" s="1"/>
  <c r="L730" i="1" s="1"/>
  <c r="L729" i="1" s="1"/>
  <c r="F742" i="1"/>
  <c r="F741" i="1" s="1"/>
  <c r="I742" i="1"/>
  <c r="I741" i="1" s="1"/>
  <c r="L742" i="1"/>
  <c r="L741" i="1" s="1"/>
  <c r="F745" i="1"/>
  <c r="F744" i="1" s="1"/>
  <c r="I745" i="1"/>
  <c r="I744" i="1" s="1"/>
  <c r="L745" i="1"/>
  <c r="L744" i="1" s="1"/>
  <c r="F750" i="1"/>
  <c r="F749" i="1" s="1"/>
  <c r="I750" i="1"/>
  <c r="I749" i="1" s="1"/>
  <c r="L750" i="1"/>
  <c r="L749" i="1" s="1"/>
  <c r="F760" i="1"/>
  <c r="F759" i="1" s="1"/>
  <c r="I760" i="1"/>
  <c r="I759" i="1" s="1"/>
  <c r="F762" i="1"/>
  <c r="I763" i="1"/>
  <c r="I762" i="1" s="1"/>
  <c r="F770" i="1"/>
  <c r="F769" i="1" s="1"/>
  <c r="F768" i="1" s="1"/>
  <c r="F767" i="1" s="1"/>
  <c r="I770" i="1"/>
  <c r="I769" i="1" s="1"/>
  <c r="I768" i="1" s="1"/>
  <c r="I767" i="1" s="1"/>
  <c r="L770" i="1"/>
  <c r="L769" i="1" s="1"/>
  <c r="L768" i="1" s="1"/>
  <c r="L767" i="1" s="1"/>
  <c r="F776" i="1"/>
  <c r="I776" i="1"/>
  <c r="L776" i="1"/>
  <c r="L778" i="1"/>
  <c r="F778" i="1"/>
  <c r="I778" i="1"/>
  <c r="F786" i="1"/>
  <c r="F785" i="1" s="1"/>
  <c r="I786" i="1"/>
  <c r="I785" i="1" s="1"/>
  <c r="L786" i="1"/>
  <c r="L785" i="1" s="1"/>
  <c r="F794" i="1"/>
  <c r="I794" i="1"/>
  <c r="I793" i="1" s="1"/>
  <c r="I792" i="1" s="1"/>
  <c r="I791" i="1" s="1"/>
  <c r="I790" i="1" s="1"/>
  <c r="I789" i="1" s="1"/>
  <c r="I788" i="1" s="1"/>
  <c r="L794" i="1"/>
  <c r="L793" i="1" s="1"/>
  <c r="L792" i="1" s="1"/>
  <c r="L791" i="1" s="1"/>
  <c r="L790" i="1" s="1"/>
  <c r="L789" i="1" s="1"/>
  <c r="L788" i="1" s="1"/>
  <c r="F802" i="1"/>
  <c r="F801" i="1" s="1"/>
  <c r="F800" i="1" s="1"/>
  <c r="F799" i="1" s="1"/>
  <c r="F798" i="1" s="1"/>
  <c r="F797" i="1" s="1"/>
  <c r="I802" i="1"/>
  <c r="I801" i="1" s="1"/>
  <c r="I800" i="1" s="1"/>
  <c r="I799" i="1" s="1"/>
  <c r="I798" i="1" s="1"/>
  <c r="I797" i="1" s="1"/>
  <c r="L802" i="1"/>
  <c r="L801" i="1" s="1"/>
  <c r="L800" i="1" s="1"/>
  <c r="L799" i="1" s="1"/>
  <c r="L798" i="1" s="1"/>
  <c r="L797" i="1" s="1"/>
  <c r="F810" i="1"/>
  <c r="F809" i="1" s="1"/>
  <c r="F808" i="1" s="1"/>
  <c r="F807" i="1" s="1"/>
  <c r="F806" i="1" s="1"/>
  <c r="F805" i="1" s="1"/>
  <c r="F804" i="1" s="1"/>
  <c r="I810" i="1"/>
  <c r="I809" i="1" s="1"/>
  <c r="I808" i="1" s="1"/>
  <c r="I807" i="1" s="1"/>
  <c r="I806" i="1" s="1"/>
  <c r="I805" i="1" s="1"/>
  <c r="I804" i="1" s="1"/>
  <c r="L810" i="1"/>
  <c r="L809" i="1" s="1"/>
  <c r="L808" i="1" s="1"/>
  <c r="L807" i="1" s="1"/>
  <c r="L806" i="1" s="1"/>
  <c r="L805" i="1" s="1"/>
  <c r="L804" i="1" s="1"/>
  <c r="L817" i="1"/>
  <c r="F819" i="1"/>
  <c r="F816" i="1" s="1"/>
  <c r="I819" i="1"/>
  <c r="I816" i="1" s="1"/>
  <c r="L819" i="1"/>
  <c r="F825" i="1"/>
  <c r="F824" i="1" s="1"/>
  <c r="I825" i="1"/>
  <c r="I824" i="1" s="1"/>
  <c r="L825" i="1"/>
  <c r="L824" i="1" s="1"/>
  <c r="F834" i="1"/>
  <c r="F833" i="1" s="1"/>
  <c r="F832" i="1" s="1"/>
  <c r="I834" i="1"/>
  <c r="I833" i="1" s="1"/>
  <c r="I832" i="1" s="1"/>
  <c r="L834" i="1"/>
  <c r="L833" i="1" s="1"/>
  <c r="L832" i="1" s="1"/>
  <c r="F840" i="1"/>
  <c r="F839" i="1" s="1"/>
  <c r="F838" i="1" s="1"/>
  <c r="F837" i="1" s="1"/>
  <c r="I840" i="1"/>
  <c r="I839" i="1" s="1"/>
  <c r="I838" i="1" s="1"/>
  <c r="I837" i="1" s="1"/>
  <c r="L840" i="1"/>
  <c r="L839" i="1" s="1"/>
  <c r="L838" i="1" s="1"/>
  <c r="L837" i="1" s="1"/>
  <c r="F845" i="1"/>
  <c r="I845" i="1"/>
  <c r="L845" i="1"/>
  <c r="F848" i="1"/>
  <c r="I848" i="1"/>
  <c r="L848" i="1"/>
  <c r="F850" i="1"/>
  <c r="I850" i="1"/>
  <c r="L850" i="1"/>
  <c r="F852" i="1"/>
  <c r="I852" i="1"/>
  <c r="L852" i="1"/>
  <c r="F854" i="1"/>
  <c r="I854" i="1"/>
  <c r="L854" i="1"/>
  <c r="F569" i="1" l="1"/>
  <c r="F568" i="1" s="1"/>
  <c r="I89" i="1"/>
  <c r="L89" i="1"/>
  <c r="F89" i="1"/>
  <c r="F88" i="1" s="1"/>
  <c r="F690" i="1"/>
  <c r="F547" i="1"/>
  <c r="F538" i="1"/>
  <c r="F518" i="1"/>
  <c r="F517" i="1" s="1"/>
  <c r="F516" i="1" s="1"/>
  <c r="F515" i="1" s="1"/>
  <c r="F514" i="1" s="1"/>
  <c r="I359" i="1"/>
  <c r="I358" i="1" s="1"/>
  <c r="I351" i="1" s="1"/>
  <c r="L359" i="1"/>
  <c r="L358" i="1" s="1"/>
  <c r="L351" i="1" s="1"/>
  <c r="F387" i="1"/>
  <c r="F359" i="1"/>
  <c r="F319" i="1"/>
  <c r="F318" i="1" s="1"/>
  <c r="F29" i="1"/>
  <c r="F28" i="1" s="1"/>
  <c r="F22" i="1" s="1"/>
  <c r="F21" i="1" s="1"/>
  <c r="I132" i="1"/>
  <c r="I131" i="1" s="1"/>
  <c r="I130" i="1" s="1"/>
  <c r="I129" i="1" s="1"/>
  <c r="L88" i="1"/>
  <c r="L132" i="1"/>
  <c r="L131" i="1" s="1"/>
  <c r="L130" i="1" s="1"/>
  <c r="L129" i="1" s="1"/>
  <c r="F132" i="1"/>
  <c r="F131" i="1" s="1"/>
  <c r="F130" i="1" s="1"/>
  <c r="F129" i="1" s="1"/>
  <c r="F292" i="1"/>
  <c r="F291" i="1" s="1"/>
  <c r="F284" i="1" s="1"/>
  <c r="F283" i="1" s="1"/>
  <c r="F202" i="1"/>
  <c r="L292" i="1"/>
  <c r="L291" i="1" s="1"/>
  <c r="L284" i="1" s="1"/>
  <c r="L283" i="1" s="1"/>
  <c r="I292" i="1"/>
  <c r="I291" i="1" s="1"/>
  <c r="F427" i="1"/>
  <c r="F426" i="1" s="1"/>
  <c r="F425" i="1" s="1"/>
  <c r="F424" i="1" s="1"/>
  <c r="F423" i="1" s="1"/>
  <c r="F422" i="1" s="1"/>
  <c r="F793" i="1"/>
  <c r="F792" i="1" s="1"/>
  <c r="F791" i="1" s="1"/>
  <c r="F790" i="1" s="1"/>
  <c r="F789" i="1" s="1"/>
  <c r="F788" i="1" s="1"/>
  <c r="I88" i="1"/>
  <c r="F775" i="1"/>
  <c r="F774" i="1" s="1"/>
  <c r="F773" i="1" s="1"/>
  <c r="F766" i="1" s="1"/>
  <c r="F765" i="1" s="1"/>
  <c r="L689" i="1"/>
  <c r="L688" i="1" s="1"/>
  <c r="L687" i="1" s="1"/>
  <c r="L686" i="1" s="1"/>
  <c r="L436" i="1"/>
  <c r="L435" i="1" s="1"/>
  <c r="L434" i="1" s="1"/>
  <c r="I119" i="1"/>
  <c r="I118" i="1" s="1"/>
  <c r="I117" i="1" s="1"/>
  <c r="I116" i="1" s="1"/>
  <c r="I77" i="1"/>
  <c r="I76" i="1" s="1"/>
  <c r="L119" i="1"/>
  <c r="L118" i="1" s="1"/>
  <c r="L117" i="1" s="1"/>
  <c r="L116" i="1" s="1"/>
  <c r="F647" i="1"/>
  <c r="F646" i="1" s="1"/>
  <c r="L253" i="1"/>
  <c r="L252" i="1" s="1"/>
  <c r="L251" i="1" s="1"/>
  <c r="F119" i="1"/>
  <c r="F118" i="1" s="1"/>
  <c r="F117" i="1" s="1"/>
  <c r="F116" i="1" s="1"/>
  <c r="L647" i="1"/>
  <c r="L646" i="1" s="1"/>
  <c r="F637" i="1"/>
  <c r="F636" i="1" s="1"/>
  <c r="L495" i="1"/>
  <c r="L494" i="1" s="1"/>
  <c r="L493" i="1" s="1"/>
  <c r="L492" i="1" s="1"/>
  <c r="F144" i="1"/>
  <c r="F143" i="1" s="1"/>
  <c r="F266" i="1"/>
  <c r="F265" i="1" s="1"/>
  <c r="L144" i="1"/>
  <c r="L143" i="1" s="1"/>
  <c r="L637" i="1"/>
  <c r="L636" i="1" s="1"/>
  <c r="L775" i="1"/>
  <c r="L774" i="1" s="1"/>
  <c r="L773" i="1" s="1"/>
  <c r="L766" i="1" s="1"/>
  <c r="L765" i="1" s="1"/>
  <c r="I647" i="1"/>
  <c r="I646" i="1" s="1"/>
  <c r="F672" i="1"/>
  <c r="F495" i="1"/>
  <c r="F494" i="1" s="1"/>
  <c r="F493" i="1" s="1"/>
  <c r="F492" i="1" s="1"/>
  <c r="I844" i="1"/>
  <c r="I843" i="1" s="1"/>
  <c r="I842" i="1" s="1"/>
  <c r="I625" i="1"/>
  <c r="I624" i="1" s="1"/>
  <c r="I211" i="1"/>
  <c r="F52" i="1"/>
  <c r="F51" i="1" s="1"/>
  <c r="I52" i="1"/>
  <c r="I51" i="1" s="1"/>
  <c r="F722" i="1"/>
  <c r="F721" i="1" s="1"/>
  <c r="F720" i="1" s="1"/>
  <c r="F719" i="1" s="1"/>
  <c r="F718" i="1" s="1"/>
  <c r="F706" i="1" s="1"/>
  <c r="L538" i="1"/>
  <c r="L518" i="1"/>
  <c r="L517" i="1" s="1"/>
  <c r="L516" i="1" s="1"/>
  <c r="L515" i="1" s="1"/>
  <c r="L514" i="1" s="1"/>
  <c r="L52" i="1"/>
  <c r="L51" i="1" s="1"/>
  <c r="I637" i="1"/>
  <c r="I636" i="1" s="1"/>
  <c r="I569" i="1"/>
  <c r="I568" i="1" s="1"/>
  <c r="L319" i="1"/>
  <c r="F253" i="1"/>
  <c r="L174" i="1"/>
  <c r="L170" i="1" s="1"/>
  <c r="L169" i="1" s="1"/>
  <c r="L168" i="1" s="1"/>
  <c r="L167" i="1" s="1"/>
  <c r="F758" i="1"/>
  <c r="F740" i="1" s="1"/>
  <c r="F739" i="1" s="1"/>
  <c r="F738" i="1" s="1"/>
  <c r="F737" i="1" s="1"/>
  <c r="I688" i="1"/>
  <c r="I687" i="1" s="1"/>
  <c r="I686" i="1" s="1"/>
  <c r="L672" i="1"/>
  <c r="L610" i="1"/>
  <c r="L609" i="1" s="1"/>
  <c r="L608" i="1" s="1"/>
  <c r="L607" i="1" s="1"/>
  <c r="L606" i="1" s="1"/>
  <c r="L602" i="1" s="1"/>
  <c r="I436" i="1"/>
  <c r="I435" i="1" s="1"/>
  <c r="I434" i="1" s="1"/>
  <c r="I319" i="1"/>
  <c r="I318" i="1" s="1"/>
  <c r="I253" i="1"/>
  <c r="I252" i="1" s="1"/>
  <c r="I251" i="1" s="1"/>
  <c r="L211" i="1"/>
  <c r="L202" i="1" s="1"/>
  <c r="I174" i="1"/>
  <c r="I170" i="1" s="1"/>
  <c r="I169" i="1" s="1"/>
  <c r="I168" i="1" s="1"/>
  <c r="I167" i="1" s="1"/>
  <c r="I150" i="1"/>
  <c r="I149" i="1" s="1"/>
  <c r="F77" i="1"/>
  <c r="F76" i="1" s="1"/>
  <c r="F844" i="1"/>
  <c r="F843" i="1" s="1"/>
  <c r="F842" i="1" s="1"/>
  <c r="F665" i="1"/>
  <c r="F664" i="1" s="1"/>
  <c r="L625" i="1"/>
  <c r="L624" i="1" s="1"/>
  <c r="L547" i="1"/>
  <c r="I538" i="1"/>
  <c r="I518" i="1"/>
  <c r="I517" i="1" s="1"/>
  <c r="I516" i="1" s="1"/>
  <c r="I515" i="1" s="1"/>
  <c r="I514" i="1" s="1"/>
  <c r="L150" i="1"/>
  <c r="L149" i="1" s="1"/>
  <c r="I665" i="1"/>
  <c r="I664" i="1" s="1"/>
  <c r="I266" i="1"/>
  <c r="I265" i="1" s="1"/>
  <c r="I144" i="1"/>
  <c r="I143" i="1" s="1"/>
  <c r="L64" i="1"/>
  <c r="L844" i="1"/>
  <c r="L843" i="1" s="1"/>
  <c r="L842" i="1" s="1"/>
  <c r="L816" i="1"/>
  <c r="L815" i="1" s="1"/>
  <c r="L814" i="1" s="1"/>
  <c r="L813" i="1" s="1"/>
  <c r="L812" i="1" s="1"/>
  <c r="I672" i="1"/>
  <c r="L665" i="1"/>
  <c r="L664" i="1" s="1"/>
  <c r="F625" i="1"/>
  <c r="F624" i="1" s="1"/>
  <c r="L266" i="1"/>
  <c r="L265" i="1" s="1"/>
  <c r="F174" i="1"/>
  <c r="F170" i="1" s="1"/>
  <c r="F169" i="1" s="1"/>
  <c r="F168" i="1" s="1"/>
  <c r="F167" i="1" s="1"/>
  <c r="F150" i="1"/>
  <c r="F149" i="1" s="1"/>
  <c r="I29" i="1"/>
  <c r="I28" i="1" s="1"/>
  <c r="I22" i="1" s="1"/>
  <c r="I21" i="1" s="1"/>
  <c r="L29" i="1"/>
  <c r="L28" i="1" s="1"/>
  <c r="L22" i="1" s="1"/>
  <c r="L21" i="1" s="1"/>
  <c r="I831" i="1"/>
  <c r="I830" i="1"/>
  <c r="I829" i="1" s="1"/>
  <c r="L830" i="1"/>
  <c r="L829" i="1" s="1"/>
  <c r="L831" i="1"/>
  <c r="I193" i="1"/>
  <c r="I192" i="1"/>
  <c r="I815" i="1"/>
  <c r="I814" i="1" s="1"/>
  <c r="I813" i="1" s="1"/>
  <c r="I812" i="1" s="1"/>
  <c r="I758" i="1"/>
  <c r="F610" i="1"/>
  <c r="F609" i="1" s="1"/>
  <c r="F608" i="1" s="1"/>
  <c r="F607" i="1" s="1"/>
  <c r="F606" i="1" s="1"/>
  <c r="F602" i="1" s="1"/>
  <c r="I494" i="1"/>
  <c r="I493" i="1" s="1"/>
  <c r="I492" i="1" s="1"/>
  <c r="F481" i="1"/>
  <c r="I244" i="1"/>
  <c r="F192" i="1"/>
  <c r="F193" i="1"/>
  <c r="F830" i="1"/>
  <c r="F829" i="1" s="1"/>
  <c r="F831" i="1"/>
  <c r="F451" i="1"/>
  <c r="F450" i="1" s="1"/>
  <c r="F449" i="1" s="1"/>
  <c r="F448" i="1" s="1"/>
  <c r="F455" i="1"/>
  <c r="L192" i="1"/>
  <c r="L193" i="1"/>
  <c r="F815" i="1"/>
  <c r="F814" i="1" s="1"/>
  <c r="F813" i="1" s="1"/>
  <c r="F812" i="1" s="1"/>
  <c r="I722" i="1"/>
  <c r="I721" i="1" s="1"/>
  <c r="I720" i="1" s="1"/>
  <c r="I719" i="1" s="1"/>
  <c r="I718" i="1" s="1"/>
  <c r="I706" i="1" s="1"/>
  <c r="I547" i="1"/>
  <c r="L481" i="1"/>
  <c r="F244" i="1"/>
  <c r="I775" i="1"/>
  <c r="I774" i="1" s="1"/>
  <c r="I773" i="1" s="1"/>
  <c r="I766" i="1" s="1"/>
  <c r="I765" i="1" s="1"/>
  <c r="L758" i="1"/>
  <c r="L740" i="1" s="1"/>
  <c r="L739" i="1" s="1"/>
  <c r="L738" i="1" s="1"/>
  <c r="L737" i="1" s="1"/>
  <c r="L722" i="1"/>
  <c r="L721" i="1" s="1"/>
  <c r="L720" i="1" s="1"/>
  <c r="L719" i="1" s="1"/>
  <c r="L718" i="1" s="1"/>
  <c r="L706" i="1" s="1"/>
  <c r="I610" i="1"/>
  <c r="I609" i="1" s="1"/>
  <c r="I608" i="1" s="1"/>
  <c r="I607" i="1" s="1"/>
  <c r="I606" i="1" s="1"/>
  <c r="I602" i="1" s="1"/>
  <c r="I481" i="1"/>
  <c r="F432" i="1"/>
  <c r="L244" i="1"/>
  <c r="I455" i="1"/>
  <c r="I454" i="1" s="1"/>
  <c r="I453" i="1" s="1"/>
  <c r="I284" i="1" l="1"/>
  <c r="I283" i="1" s="1"/>
  <c r="F537" i="1"/>
  <c r="F536" i="1" s="1"/>
  <c r="F535" i="1" s="1"/>
  <c r="F534" i="1" s="1"/>
  <c r="I740" i="1"/>
  <c r="I739" i="1" s="1"/>
  <c r="I738" i="1" s="1"/>
  <c r="I737" i="1" s="1"/>
  <c r="I736" i="1" s="1"/>
  <c r="I705" i="1" s="1"/>
  <c r="I756" i="1"/>
  <c r="I755" i="1" s="1"/>
  <c r="I754" i="1" s="1"/>
  <c r="I753" i="1" s="1"/>
  <c r="L318" i="1"/>
  <c r="L313" i="1" s="1"/>
  <c r="L312" i="1" s="1"/>
  <c r="L311" i="1" s="1"/>
  <c r="I202" i="1"/>
  <c r="I201" i="1" s="1"/>
  <c r="I200" i="1" s="1"/>
  <c r="I199" i="1" s="1"/>
  <c r="L201" i="1"/>
  <c r="L200" i="1" s="1"/>
  <c r="L199" i="1" s="1"/>
  <c r="F689" i="1"/>
  <c r="F688" i="1" s="1"/>
  <c r="F687" i="1" s="1"/>
  <c r="F686" i="1" s="1"/>
  <c r="I433" i="1"/>
  <c r="I432" i="1" s="1"/>
  <c r="L433" i="1"/>
  <c r="L432" i="1" s="1"/>
  <c r="F201" i="1"/>
  <c r="F200" i="1" s="1"/>
  <c r="F199" i="1" s="1"/>
  <c r="I828" i="1"/>
  <c r="I827" i="1" s="1"/>
  <c r="I64" i="1"/>
  <c r="I63" i="1" s="1"/>
  <c r="I62" i="1" s="1"/>
  <c r="F313" i="1"/>
  <c r="F312" i="1" s="1"/>
  <c r="F311" i="1" s="1"/>
  <c r="F623" i="1"/>
  <c r="F616" i="1" s="1"/>
  <c r="F615" i="1" s="1"/>
  <c r="F64" i="1"/>
  <c r="F63" i="1" s="1"/>
  <c r="F62" i="1" s="1"/>
  <c r="I142" i="1"/>
  <c r="I141" i="1" s="1"/>
  <c r="I140" i="1" s="1"/>
  <c r="I115" i="1" s="1"/>
  <c r="I623" i="1"/>
  <c r="I616" i="1" s="1"/>
  <c r="I615" i="1" s="1"/>
  <c r="F659" i="1"/>
  <c r="F658" i="1" s="1"/>
  <c r="F657" i="1" s="1"/>
  <c r="F656" i="1" s="1"/>
  <c r="L623" i="1"/>
  <c r="L616" i="1" s="1"/>
  <c r="L615" i="1" s="1"/>
  <c r="F473" i="1"/>
  <c r="F468" i="1" s="1"/>
  <c r="I243" i="1"/>
  <c r="I242" i="1" s="1"/>
  <c r="L142" i="1"/>
  <c r="L141" i="1" s="1"/>
  <c r="L140" i="1" s="1"/>
  <c r="L115" i="1" s="1"/>
  <c r="L659" i="1"/>
  <c r="L658" i="1" s="1"/>
  <c r="L657" i="1" s="1"/>
  <c r="L656" i="1" s="1"/>
  <c r="F252" i="1"/>
  <c r="F251" i="1" s="1"/>
  <c r="F243" i="1" s="1"/>
  <c r="F242" i="1" s="1"/>
  <c r="I20" i="1"/>
  <c r="L243" i="1"/>
  <c r="L242" i="1" s="1"/>
  <c r="L63" i="1"/>
  <c r="L62" i="1" s="1"/>
  <c r="I473" i="1"/>
  <c r="F142" i="1"/>
  <c r="F141" i="1" s="1"/>
  <c r="F140" i="1" s="1"/>
  <c r="F115" i="1" s="1"/>
  <c r="F358" i="1"/>
  <c r="F351" i="1" s="1"/>
  <c r="F350" i="1" s="1"/>
  <c r="F349" i="1" s="1"/>
  <c r="L20" i="1"/>
  <c r="L350" i="1"/>
  <c r="L349" i="1" s="1"/>
  <c r="L473" i="1"/>
  <c r="I659" i="1"/>
  <c r="I658" i="1" s="1"/>
  <c r="I657" i="1" s="1"/>
  <c r="I656" i="1" s="1"/>
  <c r="L537" i="1"/>
  <c r="L536" i="1" s="1"/>
  <c r="F20" i="1"/>
  <c r="I313" i="1"/>
  <c r="I312" i="1" s="1"/>
  <c r="I311" i="1" s="1"/>
  <c r="I350" i="1"/>
  <c r="I349" i="1" s="1"/>
  <c r="L828" i="1"/>
  <c r="L827" i="1" s="1"/>
  <c r="I537" i="1"/>
  <c r="I536" i="1" s="1"/>
  <c r="F828" i="1"/>
  <c r="F827" i="1" s="1"/>
  <c r="L736" i="1"/>
  <c r="L705" i="1" s="1"/>
  <c r="F736" i="1"/>
  <c r="F705" i="1" s="1"/>
  <c r="L535" i="1" l="1"/>
  <c r="L534" i="1" s="1"/>
  <c r="L513" i="1" s="1"/>
  <c r="L512" i="1" s="1"/>
  <c r="I535" i="1"/>
  <c r="I534" i="1" s="1"/>
  <c r="I513" i="1" s="1"/>
  <c r="I512" i="1" s="1"/>
  <c r="I282" i="1"/>
  <c r="F467" i="1"/>
  <c r="F466" i="1" s="1"/>
  <c r="F447" i="1" s="1"/>
  <c r="L282" i="1"/>
  <c r="L166" i="1"/>
  <c r="I166" i="1"/>
  <c r="F513" i="1"/>
  <c r="F512" i="1" s="1"/>
  <c r="F282" i="1"/>
  <c r="I12" i="1"/>
  <c r="F166" i="1"/>
  <c r="F12" i="1"/>
  <c r="L12" i="1"/>
  <c r="L11" i="1" l="1"/>
  <c r="L856" i="1" s="1"/>
  <c r="I11" i="1"/>
  <c r="I856" i="1" s="1"/>
  <c r="F11" i="1"/>
  <c r="F856" i="1" s="1"/>
</calcChain>
</file>

<file path=xl/sharedStrings.xml><?xml version="1.0" encoding="utf-8"?>
<sst xmlns="http://schemas.openxmlformats.org/spreadsheetml/2006/main" count="2997" uniqueCount="925">
  <si>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</si>
  <si>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</si>
  <si>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</si>
  <si>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</si>
  <si>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</si>
  <si>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</si>
  <si>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</si>
  <si>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</si>
  <si>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</si>
  <si>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</si>
  <si>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</si>
  <si>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</si>
  <si>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</si>
  <si>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</si>
  <si>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</si>
  <si>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</si>
  <si>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</si>
  <si>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</si>
  <si>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</si>
  <si>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</si>
  <si>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</si>
  <si>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</si>
  <si>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</si>
  <si>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</si>
  <si>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</si>
  <si>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</si>
  <si>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</si>
  <si>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</si>
  <si>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</si>
  <si>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</si>
  <si>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</si>
  <si>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</si>
  <si>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</si>
  <si>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</si>
  <si>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</si>
  <si>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</si>
  <si>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</si>
  <si>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</si>
  <si>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</si>
  <si>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</si>
  <si>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</si>
  <si>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</si>
  <si>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</si>
  <si>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</si>
  <si>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</si>
  <si>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</si>
  <si>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</si>
  <si>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</si>
  <si>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</si>
  <si>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</si>
  <si>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</si>
  <si>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</si>
  <si>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</si>
  <si>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</si>
  <si>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</si>
  <si>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</si>
  <si>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</si>
  <si>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</si>
  <si>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Осуществление издательской деятельности (выпуск газеты «Юсьвинские вести»)</t>
  </si>
  <si>
    <t xml:space="preserve">06 3 10 4К140 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</si>
  <si>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</si>
  <si>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>06 3 10 00000</t>
  </si>
  <si>
    <t>Подпрограмма "Информационная  политика"</t>
  </si>
  <si>
    <t>06 3 00 00000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</si>
  <si>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</si>
  <si>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</si>
  <si>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Периодическая печать и издательства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</si>
  <si>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</si>
  <si>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</si>
  <si>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</si>
  <si>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</si>
  <si>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</si>
  <si>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</si>
  <si>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</si>
  <si>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</si>
  <si>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</si>
  <si>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</si>
  <si>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</si>
  <si>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</si>
  <si>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</si>
  <si>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</si>
  <si>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</si>
  <si>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</si>
  <si>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</si>
  <si>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</si>
  <si>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</si>
  <si>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</si>
  <si>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</si>
  <si>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</si>
  <si>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</si>
  <si>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</si>
  <si>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</si>
  <si>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</si>
  <si>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</si>
  <si>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</si>
  <si>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</si>
  <si>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</si>
  <si>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</si>
  <si>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</si>
  <si>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</si>
  <si>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</si>
  <si>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</si>
  <si>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</si>
  <si>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Муниципальная программа "Совершенствование муниципального управления в Юсьвинском муниципальном округе Пермского края"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</si>
  <si>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</si>
  <si>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</si>
  <si>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</si>
  <si>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</si>
  <si>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06 1 А2 55196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</si>
  <si>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</si>
  <si>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06 1 А2 55195</t>
  </si>
  <si>
    <t>Основное мероприятие "Реализация федерального проекта "Творческие люди"</t>
  </si>
  <si>
    <t>06 1 А2 00000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</si>
  <si>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</si>
  <si>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в том числе за счет краевого бюджета</t>
  </si>
  <si>
    <t>в том числе за счет федерального бюджета</t>
  </si>
  <si>
    <t>в том числе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</si>
  <si>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</si>
  <si>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</si>
  <si>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</si>
  <si>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</si>
  <si>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</si>
  <si>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</si>
  <si>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</si>
  <si>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</si>
  <si>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</si>
  <si>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</si>
  <si>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</si>
  <si>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</si>
  <si>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</si>
  <si>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</si>
  <si>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</si>
  <si>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</si>
  <si>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</si>
  <si>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</si>
  <si>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</si>
  <si>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</si>
  <si>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</si>
  <si>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</si>
  <si>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</si>
  <si>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</si>
  <si>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</si>
  <si>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</si>
  <si>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</si>
  <si>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</si>
  <si>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</si>
  <si>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</si>
  <si>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</si>
  <si>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</si>
  <si>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</si>
  <si>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</si>
  <si>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</si>
  <si>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</si>
  <si>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</si>
  <si>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</si>
  <si>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</si>
  <si>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</si>
  <si>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</si>
  <si>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</si>
  <si>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</si>
  <si>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</si>
  <si>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</si>
  <si>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</si>
  <si>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</si>
  <si>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</si>
  <si>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</si>
  <si>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Капитальный ремонт объектов спортивной инфраструктуры муниципального значения</t>
  </si>
  <si>
    <t>07 0 30 SФ350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</si>
  <si>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</si>
  <si>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</si>
  <si>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</si>
  <si>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</si>
  <si>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</si>
  <si>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</si>
  <si>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</si>
  <si>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</si>
  <si>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</si>
  <si>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</si>
  <si>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</si>
  <si>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</si>
  <si>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</si>
  <si>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</si>
  <si>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</si>
  <si>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</si>
  <si>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</si>
  <si>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</si>
  <si>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</si>
  <si>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</si>
  <si>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</si>
  <si>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</si>
  <si>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</si>
  <si>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</si>
  <si>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</si>
  <si>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</si>
  <si>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</si>
  <si>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</si>
  <si>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</si>
  <si>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</si>
  <si>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</si>
  <si>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</si>
  <si>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</si>
  <si>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</si>
  <si>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Мероприятия, обеспечивающие кадровую политику в сфере образования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</si>
  <si>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</si>
  <si>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</si>
  <si>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</si>
  <si>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</si>
  <si>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</si>
  <si>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</si>
  <si>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Мероприятия по формированию патриотического и духовно-нравственного воспитания детей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</si>
  <si>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</si>
  <si>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</si>
  <si>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</si>
  <si>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</si>
  <si>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</si>
  <si>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Обеспечение деятельности психолого-медико педагогической комиссии</t>
  </si>
  <si>
    <t>02 3 10 4Н060</t>
  </si>
  <si>
    <t>Мероприятия, направленные на поддержку и развитие одаренных детей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</si>
  <si>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</si>
  <si>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</si>
  <si>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</si>
  <si>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</si>
  <si>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</si>
  <si>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</si>
  <si>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</si>
  <si>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</si>
  <si>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</si>
  <si>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</si>
  <si>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</si>
  <si>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02 6 10 SP350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</si>
  <si>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</si>
  <si>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</si>
  <si>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</si>
  <si>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</si>
  <si>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</si>
  <si>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 2 ЕВ 5179F</t>
  </si>
  <si>
    <t>Основное мероприятие "Патриотическое воспитание граждан Российской Федерации в рамках реализации федерального проекта"</t>
  </si>
  <si>
    <t>02 2 ЕВ 00000</t>
  </si>
  <si>
    <t>в том числе за счет средств бюджета Пермского края</t>
  </si>
  <si>
    <t>Оснащение муниципальных образовательных организаций оборудованием, средствами обученияи воспитания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</si>
  <si>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</si>
  <si>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</si>
  <si>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</si>
  <si>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</si>
  <si>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</si>
  <si>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</si>
  <si>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</si>
  <si>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</si>
  <si>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</si>
  <si>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</si>
  <si>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</si>
  <si>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</si>
  <si>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</si>
  <si>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</si>
  <si>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</si>
  <si>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</si>
  <si>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</si>
  <si>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</si>
  <si>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</si>
  <si>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</si>
  <si>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</si>
  <si>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</si>
  <si>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</si>
  <si>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</si>
  <si>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</si>
  <si>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</si>
  <si>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</si>
  <si>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</si>
  <si>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</si>
  <si>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</si>
  <si>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</si>
  <si>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</si>
  <si>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</si>
  <si>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</si>
  <si>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</si>
  <si>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</si>
  <si>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</si>
  <si>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</si>
  <si>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</si>
  <si>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</si>
  <si>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</si>
  <si>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</si>
  <si>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</si>
  <si>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</si>
  <si>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</si>
  <si>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</si>
  <si>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</si>
  <si>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</si>
  <si>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</si>
  <si>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</si>
  <si>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</si>
  <si>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</si>
  <si>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</si>
  <si>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</si>
  <si>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</si>
  <si>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</si>
  <si>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Участие в реализации проекта «Новый клуб» программа «Комфортный край»</t>
  </si>
  <si>
    <t>06 1 70 SК310</t>
  </si>
  <si>
    <t>06 1 70 00000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</si>
  <si>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</si>
  <si>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</si>
  <si>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</si>
  <si>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Проектирование объекта "Строительство интерната Майкорская ОШИ Юсьвинского муниципального округа"</t>
  </si>
  <si>
    <t>02 2 30 SН072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</si>
  <si>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</si>
  <si>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</si>
  <si>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</si>
  <si>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</si>
  <si>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</si>
  <si>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</si>
  <si>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</si>
  <si>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</si>
  <si>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</si>
  <si>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</si>
  <si>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</si>
  <si>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</si>
  <si>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</si>
  <si>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</si>
  <si>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</si>
  <si>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</si>
  <si>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</si>
  <si>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</si>
  <si>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</si>
  <si>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</si>
  <si>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</si>
  <si>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</si>
  <si>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</si>
  <si>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</si>
  <si>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</si>
  <si>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</si>
  <si>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</si>
  <si>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</si>
  <si>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</si>
  <si>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Благоустройство общественных пространств (парков)</t>
  </si>
  <si>
    <t>10 2 20 SК320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</si>
  <si>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</si>
  <si>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</si>
  <si>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</si>
  <si>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</si>
  <si>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</si>
  <si>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</si>
  <si>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Реализация проектов инициативного бюджетирования</t>
  </si>
  <si>
    <t xml:space="preserve">10 2 20 SP080 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</si>
  <si>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</si>
  <si>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</si>
  <si>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</si>
  <si>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</si>
  <si>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</si>
  <si>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</si>
  <si>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</si>
  <si>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</si>
  <si>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</si>
  <si>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</si>
  <si>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</si>
  <si>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</si>
  <si>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</si>
  <si>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10 3 10 SP410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</si>
  <si>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</si>
  <si>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</si>
  <si>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</si>
  <si>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</si>
  <si>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</si>
  <si>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</si>
  <si>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</si>
  <si>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</si>
  <si>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</si>
  <si>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</si>
  <si>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</si>
  <si>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</si>
  <si>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</si>
  <si>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</si>
  <si>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</si>
  <si>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14 2 10 00000</t>
  </si>
  <si>
    <t>Подпрограмма  «Переселение граждан и снос ветхих (аварийных) домов, признанных аварийными после 1 января 2017 года на территории Юсьвинского муниципального округа Пермского края»</t>
  </si>
  <si>
    <t>14 2 00 00000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</si>
  <si>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</si>
  <si>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</si>
  <si>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</si>
  <si>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</si>
  <si>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</si>
  <si>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</si>
  <si>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</si>
  <si>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</si>
  <si>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</si>
  <si>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</si>
  <si>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</si>
  <si>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</si>
  <si>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</si>
  <si>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</si>
  <si>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</si>
  <si>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</si>
  <si>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</si>
  <si>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15 0 20 4Г030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</si>
  <si>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</si>
  <si>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15 0 20 00000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</si>
  <si>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</si>
  <si>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</si>
  <si>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</si>
  <si>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</si>
  <si>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</si>
  <si>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</si>
  <si>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</si>
  <si>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</si>
  <si>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Организация обучения для СМСП и самозанятых</t>
  </si>
  <si>
    <t>09 1 10 4Э031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</si>
  <si>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</si>
  <si>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</si>
  <si>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</si>
  <si>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</si>
  <si>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</si>
  <si>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</si>
  <si>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</si>
  <si>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</si>
  <si>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</si>
  <si>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</si>
  <si>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Основное мероприятие "Приобретение (выкуп) в муниципальную собственность объектов недвижимости "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</si>
  <si>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</si>
  <si>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</si>
  <si>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</si>
  <si>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</si>
  <si>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</si>
  <si>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</si>
  <si>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</si>
  <si>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</si>
  <si>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</si>
  <si>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</si>
  <si>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11 1 R1 53940</t>
  </si>
  <si>
    <t>Основное мероприятие "Реализация федерального проекта "Региональная и местная дорожная сеть"</t>
  </si>
  <si>
    <t xml:space="preserve">11 1 R1 00000 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</si>
  <si>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</si>
  <si>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</si>
  <si>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</si>
  <si>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</si>
  <si>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</si>
  <si>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</si>
  <si>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</si>
  <si>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</si>
  <si>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</si>
  <si>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</si>
  <si>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</si>
  <si>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</si>
  <si>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</si>
  <si>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</si>
  <si>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</si>
  <si>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</si>
  <si>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</si>
  <si>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</si>
  <si>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</si>
  <si>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</si>
  <si>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</si>
  <si>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</si>
  <si>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</si>
  <si>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</si>
  <si>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</si>
  <si>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</si>
  <si>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</si>
  <si>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</si>
  <si>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</si>
  <si>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</si>
  <si>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</si>
  <si>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</si>
  <si>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</si>
  <si>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</si>
  <si>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</si>
  <si>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</si>
  <si>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</si>
  <si>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</si>
  <si>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</si>
  <si>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</si>
  <si>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</si>
  <si>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</si>
  <si>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</si>
  <si>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</si>
  <si>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</si>
  <si>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</si>
  <si>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</si>
  <si>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</si>
  <si>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</si>
  <si>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</si>
  <si>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</si>
  <si>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</si>
  <si>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</si>
  <si>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</si>
  <si>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</si>
  <si>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</si>
  <si>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</si>
  <si>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</si>
  <si>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</si>
  <si>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</si>
  <si>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</si>
  <si>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</si>
  <si>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</si>
  <si>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</si>
  <si>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</si>
  <si>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</si>
  <si>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</si>
  <si>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</si>
  <si>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</si>
  <si>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</si>
  <si>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</si>
  <si>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</si>
  <si>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</si>
  <si>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</si>
  <si>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</si>
  <si>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</si>
  <si>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</si>
  <si>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</si>
  <si>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</si>
  <si>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</si>
  <si>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</si>
  <si>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</si>
  <si>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</si>
  <si>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</si>
  <si>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</si>
  <si>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</si>
  <si>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</si>
  <si>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</si>
  <si>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</si>
  <si>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</si>
  <si>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</si>
  <si>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</si>
  <si>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</si>
  <si>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</si>
  <si>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</si>
  <si>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</si>
  <si>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</si>
  <si>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</si>
  <si>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</si>
  <si>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</si>
  <si>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</si>
  <si>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</si>
  <si>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</si>
  <si>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</si>
  <si>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</si>
  <si>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</si>
  <si>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</si>
  <si>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</si>
  <si>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</si>
  <si>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</si>
  <si>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</si>
  <si>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</si>
  <si>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</si>
  <si>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</si>
  <si>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</si>
  <si>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</si>
  <si>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</si>
  <si>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</si>
  <si>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</si>
  <si>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</si>
  <si>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</si>
  <si>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</si>
  <si>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</si>
  <si>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</si>
  <si>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</si>
  <si>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</si>
  <si>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</si>
  <si>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</si>
  <si>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</si>
  <si>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</si>
  <si>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</si>
  <si>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</si>
  <si>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</si>
  <si>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</si>
  <si>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</si>
  <si>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</si>
  <si>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</si>
  <si>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</si>
  <si>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</si>
  <si>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</si>
  <si>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</si>
  <si>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 3 10 2У110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</si>
  <si>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</si>
  <si>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</si>
  <si>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</si>
  <si>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</si>
  <si>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</si>
  <si>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</si>
  <si>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</si>
  <si>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</si>
  <si>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</si>
  <si>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</si>
  <si>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</si>
  <si>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</si>
  <si>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</si>
  <si>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</si>
  <si>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 xml:space="preserve">2027 год </t>
  </si>
  <si>
    <t>2026 год</t>
  </si>
  <si>
    <t xml:space="preserve">2025 год </t>
  </si>
  <si>
    <t>Направление расходов (отрасль), наименование показателя</t>
  </si>
  <si>
    <t>Вид расходов</t>
  </si>
  <si>
    <t>Целевая статья</t>
  </si>
  <si>
    <t>Раздел, подраздел</t>
  </si>
  <si>
    <t>Ведомство</t>
  </si>
  <si>
    <t>(тыс.руб.)</t>
  </si>
  <si>
    <t>Пермского края</t>
  </si>
  <si>
    <t>муниципального округа</t>
  </si>
  <si>
    <t>к решению Думы Юсьвинского</t>
  </si>
  <si>
    <t>Приложение 2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</si>
  <si>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</si>
  <si>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</si>
  <si>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</si>
  <si>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</si>
  <si>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</si>
  <si>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</si>
  <si>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</si>
  <si>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</si>
  <si>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</si>
  <si>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</si>
  <si>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</si>
  <si>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</si>
  <si>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</si>
  <si>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</si>
  <si>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</si>
  <si>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02 6 10 L7500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</si>
  <si>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</si>
  <si>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</si>
  <si>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 xml:space="preserve">06 1 70 4К091 </t>
  </si>
  <si>
    <t>06 1 50 4К080</t>
  </si>
  <si>
    <t>Проведение мероприятий, приуроченных к 100-ию  Юсьвинского района</t>
  </si>
  <si>
    <t>14 0 F3 67483</t>
  </si>
  <si>
    <t>Предпроектное обследование моста через р. Лысковка автомобильной дороги "Подъезд к пристани Пожва" км 0+677</t>
  </si>
  <si>
    <t>10 2 30 SP430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</si>
  <si>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</si>
  <si>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</si>
  <si>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</si>
  <si>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за счет внебюджетных источников</t>
  </si>
  <si>
    <t>04 0 70 L5762</t>
  </si>
  <si>
    <t>Предоставление жилых помещений на условиях найма гражданам, осуществляющим трудовую деятельность в сфере сельского хозяйства или социальной сфере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</si>
  <si>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</si>
  <si>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</si>
  <si>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</si>
  <si>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>Осуществление технологического присоединениянового здания Купросского сельского дома культуры на 50 мест в с. Купрос</t>
  </si>
  <si>
    <t>92 0 00 4КЖ50</t>
  </si>
  <si>
    <t>ФБ</t>
  </si>
  <si>
    <t>КБ</t>
  </si>
  <si>
    <t>МБ</t>
  </si>
  <si>
    <t>ВБ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</si>
  <si>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</si>
  <si>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</si>
  <si>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Подпрограмма "Обеспечение выполнения администрацией Юсьвинского муниципального округа Пермского края и её самостоятельными структурными подразделениями переданных отдельных государственных полномочий"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</si>
  <si>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</si>
  <si>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</si>
  <si>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Оснащение муниципальных образовательных организаций оборудованием, средствами обучения и воспитания</t>
  </si>
  <si>
    <t xml:space="preserve">Основное мероприятие "Патриотическое воспитание граждан Российской Федерации в рамках реализации федерального проекта"
</t>
  </si>
  <si>
    <t>Подпрограмма "Реализация государственной национальной политики в сфере образования"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</si>
  <si>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</si>
  <si>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</si>
  <si>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Участие в реализации  проекта «Новый клуб» программа «Комфортный край»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</si>
  <si>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</si>
  <si>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</si>
  <si>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</si>
  <si>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</si>
  <si>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</si>
  <si>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</si>
  <si>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</si>
  <si>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</si>
  <si>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13 0 40 00000</t>
  </si>
  <si>
    <t>Основное мероприятие "Оснащённость пунктов временного размещения"</t>
  </si>
  <si>
    <t>13 0 40 4Ч070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</si>
  <si>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</si>
  <si>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средства Фонда</t>
  </si>
  <si>
    <t>средства бюджета Пермского края</t>
  </si>
  <si>
    <t xml:space="preserve">средства местного бюджета </t>
  </si>
  <si>
    <t>Муниципальная программа  "Распоряжение земельными ресурсами в Юсьвинском муниципальном округе Пермского края"</t>
  </si>
  <si>
    <t>2025 год</t>
  </si>
  <si>
    <t>2027 год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</si>
  <si>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</si>
  <si>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Приложение 1</t>
  </si>
  <si>
    <t>Приложение 4</t>
  </si>
  <si>
    <t>Приложение 5</t>
  </si>
  <si>
    <t>№ п/п</t>
  </si>
  <si>
    <t>средства краевого бюджета</t>
  </si>
  <si>
    <t>средства местного бюджета</t>
  </si>
  <si>
    <t xml:space="preserve">к  решению Думы Юсьвинского </t>
  </si>
  <si>
    <t xml:space="preserve"> Пермского края</t>
  </si>
  <si>
    <t>1. Доходы</t>
  </si>
  <si>
    <t>Наименование доходов</t>
  </si>
  <si>
    <t>Сумма (тыс.руб.)</t>
  </si>
  <si>
    <t>средства федерального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</si>
  <si>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</si>
  <si>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</si>
  <si>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</si>
  <si>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</si>
  <si>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</si>
  <si>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</si>
  <si>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</si>
  <si>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</si>
  <si>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</si>
  <si>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</si>
  <si>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</si>
  <si>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</si>
  <si>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</si>
  <si>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</si>
  <si>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</si>
  <si>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</si>
  <si>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</si>
  <si>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</si>
  <si>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</si>
  <si>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</si>
  <si>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</si>
  <si>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1.1.3.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</si>
  <si>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</si>
  <si>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</si>
  <si>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1.1.4.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</si>
  <si>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</si>
  <si>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</si>
  <si>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</si>
  <si>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</si>
  <si>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муниципального округа Пермского края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</si>
  <si>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</si>
  <si>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</si>
  <si>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</si>
  <si>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</si>
  <si>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</si>
  <si>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</si>
  <si>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</si>
  <si>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</si>
  <si>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</si>
  <si>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</si>
  <si>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</si>
  <si>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</si>
  <si>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</si>
  <si>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</si>
  <si>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</si>
  <si>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</si>
  <si>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</si>
  <si>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</si>
  <si>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</si>
  <si>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</si>
  <si>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</si>
  <si>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</si>
  <si>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</si>
  <si>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>Источники финансирования дефицита бюджета Юсьвинского муниципального округа Пермского края на 2025 год и на плановый период 2026 и 2027 годов</t>
  </si>
  <si>
    <t xml:space="preserve">в том числе за счет средств краевого бюджета  </t>
  </si>
  <si>
    <t xml:space="preserve">в том числе за счет местного  бюджета </t>
  </si>
  <si>
    <t>Распределение средств дорожного фонда Юсьвинского муниципального округа  Пермского края на 2025 год и на плановый период 2026-2027 годы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</si>
  <si>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</si>
  <si>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</si>
  <si>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</si>
  <si>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</si>
  <si>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 xml:space="preserve">06 1 70 4К092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</si>
  <si>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</si>
  <si>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</si>
  <si>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</si>
  <si>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</si>
  <si>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</si>
  <si>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</si>
  <si>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10 3 10 4М080</t>
  </si>
  <si>
    <t>10 3 10 4М082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</si>
  <si>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</si>
  <si>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</si>
  <si>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 xml:space="preserve">91 0 00 00033 </t>
  </si>
  <si>
    <t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</si>
  <si>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>Ремонт трубопроводов подземных участков теплотрассы п. Пожва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</si>
  <si>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2025-2027 годы</t>
  </si>
  <si>
    <t>Ведомственная структура расходов Юсьвинского муниципального округа Пермского края  на 2025 год и на плановый период 2026-2027 годы</t>
  </si>
  <si>
    <t>Основное мероприятие "Проектно-изыскательские работы"</t>
  </si>
  <si>
    <t>Мероприятие "Предпроектное обследование моста через р. Лысковка автомобильной дороги "Подъезд к пристани Пожва" км 0+677"</t>
  </si>
  <si>
    <t>Обеспечение бесплатным питанием обучающихся с ограниченными возможностями здоровья и детей-инвалидов в образовательных учреждениях</t>
  </si>
  <si>
    <t>01 1 20 4У040</t>
  </si>
  <si>
    <t>в том числе за счет средств федерального бюджета</t>
  </si>
  <si>
    <t xml:space="preserve">в том числе за счет средств федерального  бюджета 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</si>
  <si>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</si>
  <si>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</si>
  <si>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1.1.5.</t>
  </si>
  <si>
    <t>Ремонт участка  автомобильной дороги "Купрос-Тимино-Тукачево" км 005+800 - км 006+920</t>
  </si>
  <si>
    <t>Ремонт участка  автомобильной дороги "Чинагорт - Верхняя Волпа" км 001+180 - км 002+980</t>
  </si>
  <si>
    <t>Ремонт  автомобильной дороги "Габово-Купрос-Данино"</t>
  </si>
  <si>
    <t xml:space="preserve">Ремонт автомобильной дороги по ул. Октябрьская п. Кама; </t>
  </si>
  <si>
    <t>Ремонт автомобильной дороги по ул. Пионерская п. Кама</t>
  </si>
  <si>
    <t>Ремонт автомобильной дороги по ул. Озерская д. Кузьмино</t>
  </si>
  <si>
    <t>Ремонт автомобильной дороги по ул.Мира (от ул. Ленина до ул. Октябрьская) п. Майкор</t>
  </si>
  <si>
    <t>Ремонт автомобильной дороги по ул.Северная с.Они</t>
  </si>
  <si>
    <t>Ремонт автомобильной дороги по ул. Центральная (от дома № 1 до дома № 44) д. Подволошино</t>
  </si>
  <si>
    <t>Ремонт автомобильной дороги по ул. Нагорная д. Сивашер</t>
  </si>
  <si>
    <t>Ремонт автомобильной дороги по ул. Центральная (от ул. Набережная дома № 2) д. Спирино</t>
  </si>
  <si>
    <t>Ремонт автомобильной дороги по ул. Заречная (от дома № 1 до дома № 21) д. Усть – Пожва</t>
  </si>
  <si>
    <t>Ремонт  автомобильной дороги по ул. Савинская (от дома № 1 до дома № 35) с. Юсьва</t>
  </si>
  <si>
    <t>Восстановление дорожного покрытия участка автомобильной дороги "Купрос-Тимино-Тукачево"</t>
  </si>
  <si>
    <t>Ремонт участка автомобильной дороги по ул. Апрельская с. Юсьва</t>
  </si>
  <si>
    <t>Ремонт автомобильной дороги по проулку от ул. Зеленая до ул. Школьная д. Городище</t>
  </si>
  <si>
    <t>Ремонт участка автомобильной дороги по ул. Усольская (от ул. Широкая до дома №2Д) п. Пожва</t>
  </si>
  <si>
    <t>Ремонт участка автомобильной дороги по ул. Крылова, ул. Матросова п. Пожва</t>
  </si>
  <si>
    <t>Ремонт участка автомобильной дороги по ул. Полевая(от дома №20 до дома № 22а) с. Юсьва</t>
  </si>
  <si>
    <t>Устройство площадки по ул. Советская с.Юсьва (МБОУ Юсьвинская СОШ)</t>
  </si>
  <si>
    <t>Ремонт участка автомобильной дороги от региональной автомобильной дороги "Кудымкар-Усолье" до ул. Парковая км 0+000-км 0+135 д. Макарово</t>
  </si>
  <si>
    <t>Устройство разворотной площадки в с. Тимино</t>
  </si>
  <si>
    <t>Замена переувлажненного грунта участка автомобильной дороги "Купрос-Тимино-Тукачево"</t>
  </si>
  <si>
    <t>Вырубка кустарника на участке автомобильной дороги "Купрос-Тимино-Тукачево" км 004+710 км 008+010</t>
  </si>
  <si>
    <t>Ремонт автомобильной дороги по ул. Западная (от ул. Заря Будущего до дома №10) с. Юсьва</t>
  </si>
  <si>
    <t>Ремонт автомобильной дороги по ул. Заря Будущего (от ул. Березовая до ул. Западная) с. Юсьва</t>
  </si>
  <si>
    <t>Ремонт моста через р. Юсьва автомобильной дороги "Сивашер-Обирино-Сыскино"</t>
  </si>
  <si>
    <t>Устройство водопропускных труб на автомобильной дороге по ул. Хуторская с. Юсьва</t>
  </si>
  <si>
    <t>Восстановление водопропускных труб на автомобильных дорогах  ( ул.Пушкина и ул. Заря Будущего) с. Юсьва</t>
  </si>
  <si>
    <t>Восстановление водопропускной трубы на автомобильной дороге по ул. Береговая с. Они</t>
  </si>
  <si>
    <t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</si>
  <si>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>Восстановление водопропускных труб в д. Белюково</t>
  </si>
  <si>
    <t>Ремонт моста через р. Ык на автомобильной дороге "Архангельское-Антипино-Якунево-Яранево"</t>
  </si>
  <si>
    <t>Ремонт моста через р. Вежашор на автомобильной дороге "Габово-Купрос-Данино"</t>
  </si>
  <si>
    <t>Ремонт моста через р. Волпа на автомобильной дороге "Чинагорт-Верхняя Волпа"</t>
  </si>
  <si>
    <t>Ремонт моста через ручей по ул. Центральная д. Доег-Пет-Бор</t>
  </si>
  <si>
    <t>Восстановление водопропускной трубы на пересечении пер. Пушкина с ул. Суворова п. Майкор</t>
  </si>
  <si>
    <t>Ремонт моста через ручей д. Якушево на автомобильной дороге "Доег-Пет-Бор"</t>
  </si>
  <si>
    <t>Ремонт моста через р. Волпа на автомобильной дороге "Чинагорт-Верхняя Волпа" 4+607</t>
  </si>
  <si>
    <t>Устройство водопропускной трубы на ул. Комсомольская п. Майкор</t>
  </si>
  <si>
    <t>Ремонт автомобильных дорог (нераспределенные средства)</t>
  </si>
  <si>
    <t>Обеспечение материальными резервами ПВР</t>
  </si>
  <si>
    <t>14 0 F3 00000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</si>
  <si>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</si>
  <si>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Осуществление технологического присоединения нового здания Купросского сельского дома культуры на 50 мест в с. Купрос</t>
  </si>
  <si>
    <t>92 0 00 2У150</t>
  </si>
  <si>
    <t>02 2 20 L3030</t>
  </si>
  <si>
    <t>01 3 10 2В230</t>
  </si>
  <si>
    <t>02 2 ЕВ 51790</t>
  </si>
  <si>
    <t>12 0 F2 00000</t>
  </si>
  <si>
    <t>Основное мероприятие "Реализация мероприятий в рамках федерального проекта «Формирование комфортной городской среды»</t>
  </si>
  <si>
    <t>12 0 F2 55550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</si>
  <si>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</si>
  <si>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</si>
  <si>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</si>
  <si>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2H420</t>
  </si>
  <si>
    <t>02 1 10 2Н420</t>
  </si>
  <si>
    <t>Обеспечение бесплатным питанием обучающихся с ограниченными возможностями здоровья, детей-инвалидов в образовательных учреждениях</t>
  </si>
  <si>
    <t>Обеспечение деятельности психолого-медико-педагогической комиссии</t>
  </si>
  <si>
    <t>Обеспечение организации досуга, занятости и отдыха детей приоритетных категорий в каникулярное время</t>
  </si>
  <si>
    <t>07 0 10 2Ф180</t>
  </si>
  <si>
    <t>Обеспечение условий для развития физической культуры и массового спорта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</si>
  <si>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</si>
  <si>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</si>
  <si>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Ремонт водопропускной трубы на участке автомобильной дороги по ул. Парковая км 0+330 д. Малая Мочга</t>
  </si>
  <si>
    <t>Восстановление водопропускной трубы на ул. Судомеханическая (вблизи дома № 16) п. Пожва</t>
  </si>
  <si>
    <t>Восстановление водопропускных труб на съезде ул. Заводская (к школе) п. Майкор и ул. Советская (к домам № 39 и № 41) с. Купрос</t>
  </si>
  <si>
    <t>Устройство водопропускной трубы на съезде с ул. Центральная с. Тимино (вблизи автобусной остановки)</t>
  </si>
  <si>
    <t>Уширение земляного полотна, восстановлениепокрытия проезжей части участка автомобильной дороги по ул. Красноармейская (от ул. Ленина до ул. Боровская) п.Майкор</t>
  </si>
  <si>
    <t>Восстановление покрытия участка автомобильной дороги по ул. Народная (от дома № 14 до дома № 10а) с. Юсьва</t>
  </si>
  <si>
    <t>11 1 40 SД110</t>
  </si>
  <si>
    <t>11 3 10 9Д060</t>
  </si>
  <si>
    <t>11 1 50 9Д040</t>
  </si>
  <si>
    <t>11 1 40 9Д030</t>
  </si>
  <si>
    <t>11 1 40 9Д031</t>
  </si>
  <si>
    <t>11 1 20 9Д023</t>
  </si>
  <si>
    <t>11 1 10 9Д010</t>
  </si>
  <si>
    <t>Обеспечение жильем молодых семей</t>
  </si>
  <si>
    <t>Организация мероприятий при осуществлении деятельности по обращению с животными без владельцев</t>
  </si>
  <si>
    <t>утверждено</t>
  </si>
  <si>
    <t>изменения</t>
  </si>
  <si>
    <t>92 0 00 00230</t>
  </si>
  <si>
    <t>Исполнение решений судов, вступивших в законную силу, и оплата государственной пошлины</t>
  </si>
  <si>
    <t xml:space="preserve">Обеспечение деятельности  муниципального казенного учреждения «Единый сервисный центр» </t>
  </si>
  <si>
    <t>ИТОГО</t>
  </si>
  <si>
    <t>92 0 00 00600</t>
  </si>
  <si>
    <t>Обеспечение функционирования очистных сооружений в с. Юсьва</t>
  </si>
  <si>
    <t>Обеспечение выполнения функций администрации Юсьвинского муниципального округа и её структурных подразделений</t>
  </si>
  <si>
    <t>92 0 00 00450</t>
  </si>
  <si>
    <t>Аренда топливозаправщика для хранения сжиженного газа</t>
  </si>
  <si>
    <t>Монтаж системы водоснабжения (дополнительные работы) школьного образовательного учреждения на 60 мест в с.Доег Юсьвинского муниципального округа</t>
  </si>
  <si>
    <t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</si>
  <si>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>92 0 00 00223</t>
  </si>
  <si>
    <t>администрация</t>
  </si>
  <si>
    <t>финуправление</t>
  </si>
  <si>
    <t>на обеспечение показателя СЗП</t>
  </si>
  <si>
    <t>Транспортная безопасность</t>
  </si>
  <si>
    <t>Прилавки Комфортный край</t>
  </si>
  <si>
    <t>Огрганизация мест отдыха у воды</t>
  </si>
  <si>
    <t>Ремонт Доеговской ООШ для размещения дошкольных групп</t>
  </si>
  <si>
    <t>доходы</t>
  </si>
  <si>
    <t>УУР утверждены</t>
  </si>
  <si>
    <t>УУР проект</t>
  </si>
  <si>
    <t>К 100-летию КПО</t>
  </si>
  <si>
    <t>Аренда топливозаправщика</t>
  </si>
  <si>
    <t>02 6 10 SН820</t>
  </si>
  <si>
    <t>Проведение работ по ремонту помещений общеобразовательных организаций для размещения дошкольных групп и пришкольных интернатов</t>
  </si>
  <si>
    <t>Проведение мероприятий, приуроченных к 100-ию  Коми-Пермяцкого округа</t>
  </si>
  <si>
    <t>09 1 КК 00000</t>
  </si>
  <si>
    <t>Основное мероприятие "Региональный проект "Комфортный край"</t>
  </si>
  <si>
    <t>09 1 КК SP430</t>
  </si>
  <si>
    <t>Оборудование торговых мест торговыми прилавками</t>
  </si>
  <si>
    <t>Замена ограждений мемориальных сооружений</t>
  </si>
  <si>
    <t>10 2 20 4М097</t>
  </si>
  <si>
    <t>10 2 КК 00000</t>
  </si>
  <si>
    <t>10 2 КК SP430</t>
  </si>
  <si>
    <t>10 2 КК SP431</t>
  </si>
  <si>
    <t>Оборудование организованных мест отдыха людей у воды</t>
  </si>
  <si>
    <t>11 3 20 00000</t>
  </si>
  <si>
    <t>Основное мероприятие "Обеспечение транспортной безопасности объектов транспортной инфраструктуры"</t>
  </si>
  <si>
    <t>11 3 20 4Д071</t>
  </si>
  <si>
    <t>Разработка плана, паспорта обеспечения транспортной безопасности и подготовка сил обеспечения транспортной безопасности</t>
  </si>
  <si>
    <t xml:space="preserve">11 1 И8 00000 </t>
  </si>
  <si>
    <t>11 1 И8 54470</t>
  </si>
  <si>
    <t>12 0 И4 00000</t>
  </si>
  <si>
    <t>12 0 И4 55550</t>
  </si>
  <si>
    <t>Основное мероприятие "Региональный проект «Формирование комфортной городской среды (Пермский край)»</t>
  </si>
  <si>
    <t>06 1 КК 00000</t>
  </si>
  <si>
    <t>Основное мероприятие «Региональный проект «Комфортный край»</t>
  </si>
  <si>
    <t>06 1 КК SК310</t>
  </si>
  <si>
    <t>Муниципальная программа "Муниципальное управления в Юсьвинском муниципальном округе Пермского края"</t>
  </si>
  <si>
    <t>02  6 КК 00000</t>
  </si>
  <si>
    <t>02 6 КК SP350</t>
  </si>
  <si>
    <t>02  6 Ю4 00000</t>
  </si>
  <si>
    <t>Основное мероприятие "Региональный проект "Все лучшее детям" (Пермский край)"</t>
  </si>
  <si>
    <t>02 6 Ю4 57500</t>
  </si>
  <si>
    <t>Участие в реализации мероприятий по модернизации школьных систем образования</t>
  </si>
  <si>
    <t>02 2 Ю6 00000</t>
  </si>
  <si>
    <t>Основное мероприятие "Региональный проект "Педагоги и наставники (Пермский край)""</t>
  </si>
  <si>
    <t>02 2 Ю6 51790</t>
  </si>
  <si>
    <t>10 3 КК 00000</t>
  </si>
  <si>
    <t>10 3 КК SP410</t>
  </si>
  <si>
    <t>Восстановление покрытия проезжей части участков автомобильных дорог по ул.Центральная с.Тимино, ул.Пушкина с.Юсьва, ул.Центральная д.Швычи</t>
  </si>
  <si>
    <t>1.2.2.</t>
  </si>
  <si>
    <t>Мероприятие "Разработка плана, паспорта обеспечения транспортной безопасности и подготовка сил обеспечения транспортной безопасности"</t>
  </si>
  <si>
    <t xml:space="preserve">Восстановление покрытия проезжей части автомобильной дороги по переулку от ул.Комсомольской до ул.Лесная п.Кама </t>
  </si>
  <si>
    <t>Восстановление покрытия проезжей части автомобильной дороги по ул.Березовая с.Юсьва</t>
  </si>
  <si>
    <t>06 1 50 SK320</t>
  </si>
  <si>
    <t>Проведение мероприятий, приуроченных к 100-летию  Коми-Пермяцкого округа</t>
  </si>
  <si>
    <t>Осуществление первичного воинского учета органами местного самоуправления муниципальных и городских округов</t>
  </si>
  <si>
    <t>02 6 10 4Н100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</si>
  <si>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</si>
  <si>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4Н130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</si>
  <si>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</si>
  <si>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Оценка технического состояния искусственных дорожных сооружений</t>
  </si>
  <si>
    <t>11 1 10 9Д011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</si>
  <si>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</si>
  <si>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>Основное мероприятие "Разработка технической документации на автомобильные дороги и (или) искусственные дорожные сооружения"</t>
  </si>
  <si>
    <t>Ремонт моста на автомобильной дороге "Бажино-Шедово"</t>
  </si>
  <si>
    <t>от 26.06.2025 №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</si>
</sst>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0.0"/>
    <numFmt numFmtId="169" formatCode="0.00000"/>
    <numFmt numFmtId="170" formatCode="#,##0.000"/>
  </numFmts>
  <fonts count="8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.5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CB4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64">
    <xf numFmtId="0" fontId="0" fillId="0" borderId="0"/>
    <xf numFmtId="0" fontId="4" fillId="0" borderId="0"/>
    <xf numFmtId="0" fontId="12" fillId="0" borderId="0"/>
    <xf numFmtId="0" fontId="1" fillId="0" borderId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14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3" fillId="39" borderId="0" applyNumberFormat="0" applyBorder="0" applyAlignment="0" applyProtection="0"/>
    <xf numFmtId="0" fontId="24" fillId="53" borderId="4" applyNumberFormat="0" applyAlignment="0" applyProtection="0"/>
    <xf numFmtId="0" fontId="25" fillId="40" borderId="5" applyNumberFormat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57" borderId="0" applyNumberFormat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51" borderId="4" applyNumberFormat="0" applyAlignment="0" applyProtection="0"/>
    <xf numFmtId="0" fontId="33" fillId="0" borderId="9" applyNumberFormat="0" applyFill="0" applyAlignment="0" applyProtection="0"/>
    <xf numFmtId="0" fontId="34" fillId="51" borderId="0" applyNumberFormat="0" applyBorder="0" applyAlignment="0" applyProtection="0"/>
    <xf numFmtId="0" fontId="35" fillId="0" borderId="0"/>
    <xf numFmtId="0" fontId="12" fillId="50" borderId="10" applyNumberFormat="0" applyFont="0" applyAlignment="0" applyProtection="0"/>
    <xf numFmtId="0" fontId="36" fillId="53" borderId="11" applyNumberFormat="0" applyAlignment="0" applyProtection="0"/>
    <xf numFmtId="0" fontId="12" fillId="0" borderId="0"/>
    <xf numFmtId="4" fontId="37" fillId="58" borderId="12" applyNumberFormat="0" applyProtection="0">
      <alignment vertical="center"/>
    </xf>
    <xf numFmtId="0" fontId="12" fillId="0" borderId="0"/>
    <xf numFmtId="0" fontId="12" fillId="0" borderId="0"/>
    <xf numFmtId="0" fontId="12" fillId="0" borderId="0"/>
    <xf numFmtId="4" fontId="38" fillId="58" borderId="12" applyNumberFormat="0" applyProtection="0">
      <alignment vertical="center"/>
    </xf>
    <xf numFmtId="0" fontId="12" fillId="0" borderId="0"/>
    <xf numFmtId="0" fontId="12" fillId="0" borderId="0"/>
    <xf numFmtId="4" fontId="37" fillId="58" borderId="12" applyNumberFormat="0" applyProtection="0">
      <alignment horizontal="left" vertical="center" indent="1"/>
    </xf>
    <xf numFmtId="0" fontId="12" fillId="0" borderId="0"/>
    <xf numFmtId="4" fontId="39" fillId="59" borderId="13" applyNumberFormat="0" applyProtection="0">
      <alignment horizontal="left" vertical="center" indent="1"/>
    </xf>
    <xf numFmtId="0" fontId="12" fillId="0" borderId="0"/>
    <xf numFmtId="0" fontId="37" fillId="58" borderId="12" applyNumberFormat="0" applyProtection="0">
      <alignment horizontal="left" vertical="top" indent="1"/>
    </xf>
    <xf numFmtId="0" fontId="12" fillId="0" borderId="0"/>
    <xf numFmtId="0" fontId="12" fillId="0" borderId="0"/>
    <xf numFmtId="4" fontId="37" fillId="13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0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3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1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5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7" borderId="12" applyNumberFormat="0" applyProtection="0">
      <alignment horizontal="right" vertical="center"/>
    </xf>
    <xf numFmtId="0" fontId="12" fillId="0" borderId="0"/>
    <xf numFmtId="0" fontId="12" fillId="0" borderId="0"/>
    <xf numFmtId="4" fontId="37" fillId="63" borderId="14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0" fillId="2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3" borderId="12" applyNumberFormat="0" applyProtection="0">
      <alignment horizontal="right" vertical="center"/>
    </xf>
    <xf numFmtId="0" fontId="12" fillId="0" borderId="0"/>
    <xf numFmtId="0" fontId="12" fillId="0" borderId="0"/>
    <xf numFmtId="4" fontId="41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1" fillId="13" borderId="0" applyNumberFormat="0" applyProtection="0">
      <alignment horizontal="left" vertical="center" indent="1"/>
    </xf>
    <xf numFmtId="0" fontId="12" fillId="0" borderId="0"/>
    <xf numFmtId="0" fontId="39" fillId="26" borderId="13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0" borderId="0"/>
    <xf numFmtId="0" fontId="12" fillId="24" borderId="12" applyNumberFormat="0" applyProtection="0">
      <alignment horizontal="left" vertical="top" indent="1"/>
    </xf>
    <xf numFmtId="0" fontId="12" fillId="0" borderId="0"/>
    <xf numFmtId="0" fontId="39" fillId="65" borderId="13" applyNumberFormat="0" applyProtection="0">
      <alignment horizontal="left" vertical="center" indent="1"/>
    </xf>
    <xf numFmtId="0" fontId="12" fillId="13" borderId="12" applyNumberFormat="0" applyProtection="0">
      <alignment horizontal="left" vertical="center" indent="1"/>
    </xf>
    <xf numFmtId="0" fontId="12" fillId="0" borderId="0"/>
    <xf numFmtId="0" fontId="12" fillId="13" borderId="12" applyNumberFormat="0" applyProtection="0">
      <alignment horizontal="left" vertical="top" indent="1"/>
    </xf>
    <xf numFmtId="0" fontId="12" fillId="0" borderId="0"/>
    <xf numFmtId="0" fontId="39" fillId="17" borderId="13" applyNumberFormat="0" applyProtection="0">
      <alignment horizontal="left" vertical="center" indent="1"/>
    </xf>
    <xf numFmtId="0" fontId="39" fillId="17" borderId="13" applyNumberFormat="0" applyProtection="0">
      <alignment horizontal="left" vertical="center" indent="1"/>
    </xf>
    <xf numFmtId="0" fontId="12" fillId="0" borderId="0"/>
    <xf numFmtId="0" fontId="12" fillId="17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16" borderId="1" applyNumberFormat="0">
      <protection locked="0"/>
    </xf>
    <xf numFmtId="0" fontId="12" fillId="0" borderId="0"/>
    <xf numFmtId="0" fontId="42" fillId="24" borderId="15" applyBorder="0"/>
    <xf numFmtId="0" fontId="12" fillId="0" borderId="0"/>
    <xf numFmtId="4" fontId="17" fillId="15" borderId="12" applyNumberFormat="0" applyProtection="0">
      <alignment vertical="center"/>
    </xf>
    <xf numFmtId="0" fontId="12" fillId="0" borderId="0"/>
    <xf numFmtId="0" fontId="12" fillId="0" borderId="0"/>
    <xf numFmtId="4" fontId="43" fillId="15" borderId="12" applyNumberFormat="0" applyProtection="0">
      <alignment vertical="center"/>
    </xf>
    <xf numFmtId="0" fontId="12" fillId="0" borderId="0"/>
    <xf numFmtId="0" fontId="12" fillId="0" borderId="0"/>
    <xf numFmtId="4" fontId="17" fillId="15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7" fillId="15" borderId="12" applyNumberFormat="0" applyProtection="0">
      <alignment horizontal="left" vertical="top" indent="1"/>
    </xf>
    <xf numFmtId="0" fontId="12" fillId="0" borderId="0"/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0" fontId="12" fillId="0" borderId="0"/>
    <xf numFmtId="4" fontId="43" fillId="6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3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0" borderId="0"/>
    <xf numFmtId="0" fontId="17" fillId="13" borderId="12" applyNumberFormat="0" applyProtection="0">
      <alignment horizontal="left" vertical="top" indent="1"/>
    </xf>
    <xf numFmtId="0" fontId="12" fillId="0" borderId="0"/>
    <xf numFmtId="0" fontId="12" fillId="0" borderId="0"/>
    <xf numFmtId="4" fontId="44" fillId="66" borderId="0" applyNumberFormat="0" applyProtection="0">
      <alignment horizontal="left" vertical="center" indent="1"/>
    </xf>
    <xf numFmtId="0" fontId="12" fillId="0" borderId="0"/>
    <xf numFmtId="0" fontId="39" fillId="67" borderId="1"/>
    <xf numFmtId="0" fontId="12" fillId="0" borderId="0"/>
    <xf numFmtId="4" fontId="45" fillId="64" borderId="12" applyNumberFormat="0" applyProtection="0">
      <alignment horizontal="right" vertical="center"/>
    </xf>
    <xf numFmtId="0" fontId="1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20" fillId="68" borderId="0" applyNumberFormat="0" applyBorder="0" applyAlignment="0" applyProtection="0"/>
    <xf numFmtId="0" fontId="20" fillId="60" borderId="0" applyNumberFormat="0" applyBorder="0" applyAlignment="0" applyProtection="0"/>
    <xf numFmtId="0" fontId="20" fillId="25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61" borderId="0" applyNumberFormat="0" applyBorder="0" applyAlignment="0" applyProtection="0"/>
    <xf numFmtId="0" fontId="48" fillId="23" borderId="4" applyNumberFormat="0" applyAlignment="0" applyProtection="0"/>
    <xf numFmtId="0" fontId="49" fillId="26" borderId="11" applyNumberFormat="0" applyAlignment="0" applyProtection="0"/>
    <xf numFmtId="0" fontId="50" fillId="26" borderId="4" applyNumberFormat="0" applyAlignment="0" applyProtection="0"/>
    <xf numFmtId="0" fontId="51" fillId="0" borderId="17" applyNumberFormat="0" applyFill="0" applyAlignment="0" applyProtection="0"/>
    <xf numFmtId="0" fontId="52" fillId="0" borderId="7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69" borderId="5" applyNumberFormat="0" applyAlignment="0" applyProtection="0"/>
    <xf numFmtId="0" fontId="56" fillId="0" borderId="0" applyNumberFormat="0" applyFill="0" applyBorder="0" applyAlignment="0" applyProtection="0"/>
    <xf numFmtId="0" fontId="57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1" fillId="70" borderId="0"/>
    <xf numFmtId="0" fontId="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2" fillId="0" borderId="0"/>
    <xf numFmtId="0" fontId="6" fillId="0" borderId="0"/>
    <xf numFmtId="0" fontId="61" fillId="70" borderId="0"/>
    <xf numFmtId="0" fontId="58" fillId="0" borderId="0"/>
    <xf numFmtId="0" fontId="62" fillId="18" borderId="0" applyNumberFormat="0" applyBorder="0" applyAlignment="0" applyProtection="0"/>
    <xf numFmtId="0" fontId="63" fillId="0" borderId="0" applyNumberFormat="0" applyFill="0" applyBorder="0" applyAlignment="0" applyProtection="0"/>
    <xf numFmtId="0" fontId="12" fillId="15" borderId="10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4" fillId="0" borderId="20" applyNumberFormat="0" applyFill="0" applyAlignment="0" applyProtection="0"/>
    <xf numFmtId="0" fontId="65" fillId="0" borderId="0"/>
    <xf numFmtId="0" fontId="6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7" fillId="20" borderId="0" applyNumberFormat="0" applyBorder="0" applyAlignment="0" applyProtection="0"/>
  </cellStyleXfs>
  <cellXfs count="495">
    <xf numFmtId="0" fontId="0" fillId="0" borderId="0" xfId="0"/>
    <xf numFmtId="0" fontId="3" fillId="0" borderId="0" xfId="0" applyFont="1"/>
    <xf numFmtId="164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164" fontId="6" fillId="3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9" fontId="5" fillId="4" borderId="1" xfId="1" applyNumberFormat="1" applyFont="1" applyFill="1" applyBorder="1" applyAlignment="1">
      <alignment horizontal="center" wrapText="1"/>
    </xf>
    <xf numFmtId="164" fontId="5" fillId="5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164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top" wrapText="1"/>
    </xf>
    <xf numFmtId="164" fontId="5" fillId="7" borderId="1" xfId="1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4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vertical="top" wrapText="1"/>
    </xf>
    <xf numFmtId="49" fontId="5" fillId="8" borderId="1" xfId="1" applyNumberFormat="1" applyFont="1" applyFill="1" applyBorder="1" applyAlignment="1">
      <alignment horizontal="center" vertical="top" wrapText="1"/>
    </xf>
    <xf numFmtId="0" fontId="5" fillId="8" borderId="1" xfId="1" applyNumberFormat="1" applyFont="1" applyFill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5" fillId="4" borderId="1" xfId="1" applyNumberFormat="1" applyFont="1" applyFill="1" applyBorder="1" applyAlignment="1">
      <alignment horizontal="center" vertical="top" wrapText="1"/>
    </xf>
    <xf numFmtId="49" fontId="6" fillId="4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NumberFormat="1" applyFont="1" applyFill="1" applyBorder="1" applyAlignment="1">
      <alignment horizontal="center" vertical="top" wrapText="1"/>
    </xf>
    <xf numFmtId="49" fontId="6" fillId="5" borderId="1" xfId="1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164" fontId="6" fillId="0" borderId="1" xfId="1" applyNumberFormat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wrapText="1"/>
    </xf>
    <xf numFmtId="49" fontId="8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vertical="top" wrapText="1"/>
    </xf>
    <xf numFmtId="49" fontId="5" fillId="9" borderId="1" xfId="1" applyNumberFormat="1" applyFont="1" applyFill="1" applyBorder="1" applyAlignment="1">
      <alignment horizontal="center" vertical="top" wrapText="1"/>
    </xf>
    <xf numFmtId="0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49" fontId="9" fillId="3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0" fontId="10" fillId="3" borderId="1" xfId="1" applyFont="1" applyFill="1" applyBorder="1" applyAlignment="1">
      <alignment wrapText="1"/>
    </xf>
    <xf numFmtId="49" fontId="10" fillId="3" borderId="1" xfId="1" applyNumberFormat="1" applyFont="1" applyFill="1" applyBorder="1" applyAlignment="1">
      <alignment horizontal="center" wrapText="1"/>
    </xf>
    <xf numFmtId="0" fontId="11" fillId="0" borderId="0" xfId="0" applyFont="1"/>
    <xf numFmtId="164" fontId="6" fillId="3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wrapText="1"/>
    </xf>
    <xf numFmtId="0" fontId="6" fillId="3" borderId="1" xfId="1" applyFont="1" applyFill="1" applyBorder="1" applyAlignment="1">
      <alignment horizontal="justify"/>
    </xf>
    <xf numFmtId="0" fontId="5" fillId="7" borderId="1" xfId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5" fillId="4" borderId="1" xfId="1" applyFont="1" applyFill="1" applyBorder="1" applyAlignment="1">
      <alignment vertical="top" wrapText="1"/>
    </xf>
    <xf numFmtId="0" fontId="3" fillId="3" borderId="1" xfId="0" applyFont="1" applyFill="1" applyBorder="1"/>
    <xf numFmtId="0" fontId="6" fillId="3" borderId="1" xfId="3" applyNumberFormat="1" applyFont="1" applyFill="1" applyBorder="1" applyAlignment="1">
      <alignment horizontal="left" vertical="top" wrapText="1"/>
    </xf>
    <xf numFmtId="0" fontId="6" fillId="0" borderId="1" xfId="1" applyNumberFormat="1" applyFont="1" applyFill="1" applyBorder="1" applyAlignment="1">
      <alignment horizontal="center" vertical="top" wrapText="1"/>
    </xf>
    <xf numFmtId="0" fontId="5" fillId="10" borderId="1" xfId="1" applyFont="1" applyFill="1" applyBorder="1" applyAlignment="1">
      <alignment horizontal="left" vertical="top" wrapText="1"/>
    </xf>
    <xf numFmtId="164" fontId="5" fillId="9" borderId="1" xfId="1" applyNumberFormat="1" applyFont="1" applyFill="1" applyBorder="1" applyAlignment="1">
      <alignment horizontal="center" wrapText="1"/>
    </xf>
    <xf numFmtId="0" fontId="5" fillId="9" borderId="1" xfId="1" applyFont="1" applyFill="1" applyBorder="1" applyAlignment="1">
      <alignment horizontal="left" vertical="top" wrapText="1"/>
    </xf>
    <xf numFmtId="0" fontId="3" fillId="9" borderId="1" xfId="0" applyFont="1" applyFill="1" applyBorder="1"/>
    <xf numFmtId="164" fontId="5" fillId="8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top" wrapText="1"/>
    </xf>
    <xf numFmtId="49" fontId="9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49" fontId="5" fillId="2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49" fontId="6" fillId="7" borderId="1" xfId="1" applyNumberFormat="1" applyFont="1" applyFill="1" applyBorder="1" applyAlignment="1">
      <alignment horizontal="center" wrapText="1"/>
    </xf>
    <xf numFmtId="0" fontId="11" fillId="4" borderId="1" xfId="0" applyFont="1" applyFill="1" applyBorder="1"/>
    <xf numFmtId="49" fontId="6" fillId="5" borderId="1" xfId="1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3" fillId="11" borderId="0" xfId="0" applyFont="1" applyFill="1"/>
    <xf numFmtId="164" fontId="5" fillId="4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vertical="top" wrapText="1"/>
    </xf>
    <xf numFmtId="0" fontId="11" fillId="5" borderId="1" xfId="0" applyFont="1" applyFill="1" applyBorder="1"/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justify"/>
    </xf>
    <xf numFmtId="0" fontId="6" fillId="3" borderId="1" xfId="1" applyFont="1" applyFill="1" applyBorder="1" applyAlignment="1">
      <alignment horizontal="justify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11" fillId="0" borderId="1" xfId="0" applyFont="1" applyBorder="1"/>
    <xf numFmtId="0" fontId="13" fillId="0" borderId="0" xfId="0" applyFont="1"/>
    <xf numFmtId="164" fontId="5" fillId="12" borderId="1" xfId="1" applyNumberFormat="1" applyFont="1" applyFill="1" applyBorder="1" applyAlignment="1">
      <alignment horizontal="center"/>
    </xf>
    <xf numFmtId="0" fontId="5" fillId="12" borderId="1" xfId="1" applyFont="1" applyFill="1" applyBorder="1" applyAlignment="1">
      <alignment horizontal="left" vertical="top" wrapText="1"/>
    </xf>
    <xf numFmtId="49" fontId="5" fillId="12" borderId="1" xfId="1" applyNumberFormat="1" applyFont="1" applyFill="1" applyBorder="1" applyAlignment="1">
      <alignment horizontal="center" vertical="top" wrapText="1"/>
    </xf>
    <xf numFmtId="0" fontId="5" fillId="12" borderId="1" xfId="1" applyNumberFormat="1" applyFont="1" applyFill="1" applyBorder="1" applyAlignment="1">
      <alignment horizontal="center" vertical="top" wrapText="1"/>
    </xf>
    <xf numFmtId="0" fontId="11" fillId="12" borderId="1" xfId="0" applyFont="1" applyFill="1" applyBorder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right" vertical="center" wrapText="1"/>
    </xf>
    <xf numFmtId="0" fontId="6" fillId="0" borderId="0" xfId="1" applyFont="1" applyFill="1" applyBorder="1" applyAlignment="1">
      <alignment vertical="center" wrapText="1"/>
    </xf>
    <xf numFmtId="0" fontId="16" fillId="0" borderId="0" xfId="1" applyFont="1" applyAlignment="1">
      <alignment wrapText="1"/>
    </xf>
    <xf numFmtId="0" fontId="6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0" applyFont="1" applyAlignment="1"/>
    <xf numFmtId="0" fontId="6" fillId="0" borderId="1" xfId="0" applyFont="1" applyBorder="1" applyAlignment="1">
      <alignment horizontal="center"/>
    </xf>
    <xf numFmtId="49" fontId="9" fillId="3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0" borderId="2" xfId="1" applyFont="1" applyFill="1" applyBorder="1" applyAlignment="1">
      <alignment wrapText="1"/>
    </xf>
    <xf numFmtId="0" fontId="6" fillId="0" borderId="0" xfId="0" applyFont="1"/>
    <xf numFmtId="0" fontId="5" fillId="7" borderId="2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0" fontId="6" fillId="3" borderId="0" xfId="0" applyFont="1" applyFill="1"/>
    <xf numFmtId="49" fontId="69" fillId="3" borderId="1" xfId="1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justify"/>
    </xf>
    <xf numFmtId="0" fontId="73" fillId="0" borderId="0" xfId="0" applyFont="1"/>
    <xf numFmtId="0" fontId="70" fillId="0" borderId="1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16" fillId="0" borderId="1" xfId="561" applyFont="1" applyBorder="1" applyAlignment="1">
      <alignment horizontal="center" vertical="center"/>
    </xf>
    <xf numFmtId="0" fontId="70" fillId="71" borderId="1" xfId="561" applyFont="1" applyFill="1" applyBorder="1" applyAlignment="1">
      <alignment vertical="center" wrapText="1"/>
    </xf>
    <xf numFmtId="164" fontId="70" fillId="0" borderId="1" xfId="0" applyNumberFormat="1" applyFont="1" applyBorder="1" applyAlignment="1">
      <alignment horizontal="right" vertical="center" wrapText="1"/>
    </xf>
    <xf numFmtId="164" fontId="75" fillId="0" borderId="1" xfId="0" applyNumberFormat="1" applyFont="1" applyBorder="1" applyAlignment="1">
      <alignment horizontal="right" vertical="center" wrapText="1"/>
    </xf>
    <xf numFmtId="164" fontId="76" fillId="0" borderId="1" xfId="0" applyNumberFormat="1" applyFont="1" applyBorder="1" applyAlignment="1">
      <alignment horizontal="right" vertical="center" wrapText="1"/>
    </xf>
    <xf numFmtId="0" fontId="16" fillId="71" borderId="1" xfId="561" applyFont="1" applyFill="1" applyBorder="1" applyAlignment="1">
      <alignment horizontal="left" vertical="center" wrapText="1" indent="1"/>
    </xf>
    <xf numFmtId="164" fontId="70" fillId="71" borderId="1" xfId="561" applyNumberFormat="1" applyFont="1" applyFill="1" applyBorder="1" applyAlignment="1">
      <alignment horizontal="right" vertical="center" wrapText="1"/>
    </xf>
    <xf numFmtId="164" fontId="16" fillId="71" borderId="1" xfId="561" applyNumberFormat="1" applyFont="1" applyFill="1" applyBorder="1" applyAlignment="1">
      <alignment horizontal="right" vertical="center" wrapText="1"/>
    </xf>
    <xf numFmtId="164" fontId="16" fillId="3" borderId="1" xfId="0" applyNumberFormat="1" applyFont="1" applyFill="1" applyBorder="1" applyAlignment="1">
      <alignment horizontal="right" vertical="center" wrapText="1"/>
    </xf>
    <xf numFmtId="0" fontId="16" fillId="0" borderId="0" xfId="561" applyFont="1" applyBorder="1" applyAlignment="1">
      <alignment horizontal="center" vertical="center"/>
    </xf>
    <xf numFmtId="0" fontId="16" fillId="71" borderId="0" xfId="561" applyFont="1" applyFill="1" applyBorder="1" applyAlignment="1">
      <alignment horizontal="left" vertical="center" wrapText="1" indent="1"/>
    </xf>
    <xf numFmtId="170" fontId="70" fillId="71" borderId="0" xfId="561" applyNumberFormat="1" applyFont="1" applyFill="1" applyBorder="1" applyAlignment="1">
      <alignment horizontal="right" vertical="center" wrapText="1"/>
    </xf>
    <xf numFmtId="170" fontId="16" fillId="71" borderId="0" xfId="561" applyNumberFormat="1" applyFont="1" applyFill="1" applyBorder="1" applyAlignment="1">
      <alignment horizontal="right" vertical="center" wrapText="1"/>
    </xf>
    <xf numFmtId="164" fontId="70" fillId="0" borderId="0" xfId="0" applyNumberFormat="1" applyFont="1" applyBorder="1" applyAlignment="1">
      <alignment horizontal="right" vertical="center" wrapText="1"/>
    </xf>
    <xf numFmtId="164" fontId="16" fillId="3" borderId="0" xfId="0" applyNumberFormat="1" applyFont="1" applyFill="1" applyBorder="1" applyAlignment="1">
      <alignment horizontal="right" vertical="center" wrapText="1"/>
    </xf>
    <xf numFmtId="0" fontId="75" fillId="0" borderId="3" xfId="0" applyFont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4" fillId="0" borderId="0" xfId="0" applyFont="1" applyAlignment="1">
      <alignment wrapText="1"/>
    </xf>
    <xf numFmtId="164" fontId="77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center" wrapText="1"/>
    </xf>
    <xf numFmtId="164" fontId="77" fillId="0" borderId="1" xfId="0" applyNumberFormat="1" applyFont="1" applyBorder="1" applyAlignment="1">
      <alignment horizontal="center" vertical="center"/>
    </xf>
    <xf numFmtId="164" fontId="73" fillId="0" borderId="1" xfId="0" applyNumberFormat="1" applyFont="1" applyBorder="1" applyAlignment="1">
      <alignment horizontal="center" vertical="center"/>
    </xf>
    <xf numFmtId="0" fontId="6" fillId="3" borderId="0" xfId="1" applyFont="1" applyFill="1" applyAlignment="1">
      <alignment vertical="center" wrapText="1"/>
    </xf>
    <xf numFmtId="0" fontId="73" fillId="0" borderId="0" xfId="0" applyFont="1" applyAlignment="1"/>
    <xf numFmtId="0" fontId="73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72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 vertical="center" wrapText="1"/>
    </xf>
    <xf numFmtId="164" fontId="79" fillId="0" borderId="1" xfId="0" applyNumberFormat="1" applyFont="1" applyBorder="1" applyAlignment="1">
      <alignment horizontal="center"/>
    </xf>
    <xf numFmtId="0" fontId="73" fillId="0" borderId="1" xfId="0" applyFont="1" applyBorder="1" applyAlignment="1">
      <alignment horizontal="center" vertical="center" wrapText="1"/>
    </xf>
    <xf numFmtId="164" fontId="73" fillId="0" borderId="1" xfId="0" applyNumberFormat="1" applyFont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2" fillId="0" borderId="1" xfId="0" applyFont="1" applyBorder="1" applyAlignment="1">
      <alignment horizontal="center" wrapText="1"/>
    </xf>
    <xf numFmtId="164" fontId="72" fillId="0" borderId="1" xfId="0" applyNumberFormat="1" applyFont="1" applyBorder="1" applyAlignment="1">
      <alignment horizontal="center"/>
    </xf>
    <xf numFmtId="164" fontId="0" fillId="0" borderId="0" xfId="0" applyNumberFormat="1"/>
    <xf numFmtId="169" fontId="6" fillId="0" borderId="1" xfId="0" applyNumberFormat="1" applyFont="1" applyBorder="1"/>
    <xf numFmtId="0" fontId="5" fillId="2" borderId="1" xfId="0" applyFont="1" applyFill="1" applyBorder="1"/>
    <xf numFmtId="0" fontId="6" fillId="0" borderId="1" xfId="0" applyFont="1" applyBorder="1" applyAlignment="1">
      <alignment wrapText="1"/>
    </xf>
    <xf numFmtId="169" fontId="6" fillId="0" borderId="0" xfId="0" applyNumberFormat="1" applyFont="1"/>
    <xf numFmtId="0" fontId="6" fillId="6" borderId="0" xfId="0" applyFont="1" applyFill="1"/>
    <xf numFmtId="169" fontId="6" fillId="6" borderId="0" xfId="0" applyNumberFormat="1" applyFont="1" applyFill="1"/>
    <xf numFmtId="0" fontId="10" fillId="0" borderId="0" xfId="0" applyFont="1" applyAlignment="1"/>
    <xf numFmtId="169" fontId="5" fillId="4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68" fontId="3" fillId="0" borderId="0" xfId="0" applyNumberFormat="1" applyFont="1"/>
    <xf numFmtId="169" fontId="0" fillId="3" borderId="0" xfId="0" applyNumberFormat="1" applyFill="1"/>
    <xf numFmtId="169" fontId="0" fillId="2" borderId="0" xfId="0" applyNumberFormat="1" applyFill="1"/>
    <xf numFmtId="169" fontId="0" fillId="6" borderId="0" xfId="0" applyNumberFormat="1" applyFill="1"/>
    <xf numFmtId="0" fontId="80" fillId="3" borderId="1" xfId="0" applyFont="1" applyFill="1" applyBorder="1" applyAlignment="1">
      <alignment vertical="justify"/>
    </xf>
    <xf numFmtId="164" fontId="80" fillId="3" borderId="1" xfId="0" applyNumberFormat="1" applyFont="1" applyFill="1" applyBorder="1" applyAlignment="1">
      <alignment horizontal="center" vertical="center" wrapText="1"/>
    </xf>
    <xf numFmtId="0" fontId="80" fillId="0" borderId="1" xfId="0" applyFont="1" applyBorder="1" applyAlignment="1">
      <alignment wrapText="1"/>
    </xf>
    <xf numFmtId="164" fontId="80" fillId="0" borderId="1" xfId="0" applyNumberFormat="1" applyFont="1" applyBorder="1"/>
    <xf numFmtId="0" fontId="70" fillId="3" borderId="1" xfId="0" applyFont="1" applyFill="1" applyBorder="1" applyAlignment="1">
      <alignment horizontal="center" vertical="top" wrapText="1"/>
    </xf>
    <xf numFmtId="0" fontId="70" fillId="3" borderId="1" xfId="0" applyFont="1" applyFill="1" applyBorder="1" applyAlignment="1">
      <alignment vertical="justify" wrapText="1"/>
    </xf>
    <xf numFmtId="164" fontId="70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9" fontId="2" fillId="3" borderId="0" xfId="0" applyNumberFormat="1" applyFont="1" applyFill="1"/>
    <xf numFmtId="0" fontId="80" fillId="3" borderId="1" xfId="0" applyFont="1" applyFill="1" applyBorder="1" applyAlignment="1">
      <alignment vertical="justify" wrapText="1"/>
    </xf>
    <xf numFmtId="164" fontId="80" fillId="3" borderId="0" xfId="0" applyNumberFormat="1" applyFont="1" applyFill="1" applyBorder="1" applyAlignment="1">
      <alignment horizontal="center" vertical="center" wrapText="1"/>
    </xf>
    <xf numFmtId="49" fontId="5" fillId="73" borderId="1" xfId="1" applyNumberFormat="1" applyFont="1" applyFill="1" applyBorder="1" applyAlignment="1">
      <alignment horizontal="center" wrapText="1"/>
    </xf>
    <xf numFmtId="0" fontId="5" fillId="73" borderId="1" xfId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horizontal="center" wrapText="1"/>
    </xf>
    <xf numFmtId="0" fontId="5" fillId="73" borderId="1" xfId="0" applyFont="1" applyFill="1" applyBorder="1" applyAlignment="1">
      <alignment wrapText="1"/>
    </xf>
    <xf numFmtId="0" fontId="3" fillId="73" borderId="1" xfId="0" applyFont="1" applyFill="1" applyBorder="1"/>
    <xf numFmtId="49" fontId="5" fillId="73" borderId="1" xfId="1" applyNumberFormat="1" applyFont="1" applyFill="1" applyBorder="1" applyAlignment="1">
      <alignment horizontal="center" vertical="top" wrapText="1"/>
    </xf>
    <xf numFmtId="0" fontId="5" fillId="73" borderId="1" xfId="0" applyFont="1" applyFill="1" applyBorder="1" applyAlignment="1">
      <alignment vertical="top" wrapText="1"/>
    </xf>
    <xf numFmtId="164" fontId="5" fillId="73" borderId="1" xfId="1" applyNumberFormat="1" applyFont="1" applyFill="1" applyBorder="1" applyAlignment="1">
      <alignment horizontal="center" vertical="top" wrapText="1"/>
    </xf>
    <xf numFmtId="49" fontId="6" fillId="73" borderId="1" xfId="1" applyNumberFormat="1" applyFont="1" applyFill="1" applyBorder="1" applyAlignment="1">
      <alignment horizontal="center" wrapText="1"/>
    </xf>
    <xf numFmtId="0" fontId="11" fillId="73" borderId="1" xfId="0" applyFont="1" applyFill="1" applyBorder="1"/>
    <xf numFmtId="0" fontId="5" fillId="73" borderId="1" xfId="1" applyNumberFormat="1" applyFont="1" applyFill="1" applyBorder="1" applyAlignment="1">
      <alignment horizontal="center" vertical="top" wrapText="1"/>
    </xf>
    <xf numFmtId="0" fontId="5" fillId="73" borderId="1" xfId="1" applyFont="1" applyFill="1" applyBorder="1" applyAlignment="1">
      <alignment vertical="top" wrapText="1"/>
    </xf>
    <xf numFmtId="0" fontId="5" fillId="73" borderId="2" xfId="1" applyFont="1" applyFill="1" applyBorder="1" applyAlignment="1">
      <alignment wrapText="1"/>
    </xf>
    <xf numFmtId="0" fontId="5" fillId="73" borderId="1" xfId="1" applyFont="1" applyFill="1" applyBorder="1" applyAlignment="1">
      <alignment horizontal="left" wrapText="1"/>
    </xf>
    <xf numFmtId="164" fontId="5" fillId="73" borderId="1" xfId="0" applyNumberFormat="1" applyFont="1" applyFill="1" applyBorder="1" applyAlignment="1">
      <alignment horizontal="center"/>
    </xf>
    <xf numFmtId="0" fontId="5" fillId="73" borderId="1" xfId="1" applyFont="1" applyFill="1" applyBorder="1" applyAlignment="1">
      <alignment horizontal="justify" wrapText="1"/>
    </xf>
    <xf numFmtId="49" fontId="5" fillId="73" borderId="1" xfId="1" applyNumberFormat="1" applyFont="1" applyFill="1" applyBorder="1" applyAlignment="1">
      <alignment horizontal="left" wrapText="1"/>
    </xf>
    <xf numFmtId="0" fontId="5" fillId="73" borderId="1" xfId="1" applyFont="1" applyFill="1" applyBorder="1" applyAlignment="1">
      <alignment horizontal="center" vertical="top" wrapText="1"/>
    </xf>
    <xf numFmtId="0" fontId="5" fillId="73" borderId="1" xfId="1" applyFont="1" applyFill="1" applyBorder="1" applyAlignment="1">
      <alignment horizontal="left" vertical="top" wrapText="1"/>
    </xf>
    <xf numFmtId="49" fontId="5" fillId="8" borderId="1" xfId="1" applyNumberFormat="1" applyFont="1" applyFill="1" applyBorder="1" applyAlignment="1">
      <alignment horizontal="center" wrapText="1"/>
    </xf>
    <xf numFmtId="49" fontId="5" fillId="8" borderId="1" xfId="1" applyNumberFormat="1" applyFont="1" applyFill="1" applyBorder="1" applyAlignment="1">
      <alignment wrapText="1"/>
    </xf>
    <xf numFmtId="0" fontId="5" fillId="8" borderId="2" xfId="1" applyFont="1" applyFill="1" applyBorder="1" applyAlignment="1">
      <alignment wrapText="1"/>
    </xf>
    <xf numFmtId="0" fontId="5" fillId="8" borderId="1" xfId="1" applyFont="1" applyFill="1" applyBorder="1" applyAlignment="1">
      <alignment wrapText="1"/>
    </xf>
    <xf numFmtId="49" fontId="6" fillId="8" borderId="1" xfId="1" applyNumberFormat="1" applyFont="1" applyFill="1" applyBorder="1" applyAlignment="1">
      <alignment horizontal="center" wrapText="1"/>
    </xf>
    <xf numFmtId="0" fontId="70" fillId="73" borderId="1" xfId="0" applyFont="1" applyFill="1" applyBorder="1" applyAlignment="1">
      <alignment horizontal="center" vertical="top" wrapText="1"/>
    </xf>
    <xf numFmtId="0" fontId="70" fillId="73" borderId="1" xfId="0" applyFont="1" applyFill="1" applyBorder="1" applyAlignment="1">
      <alignment vertical="top" wrapText="1"/>
    </xf>
    <xf numFmtId="164" fontId="70" fillId="73" borderId="1" xfId="0" applyNumberFormat="1" applyFont="1" applyFill="1" applyBorder="1" applyAlignment="1">
      <alignment horizontal="center" vertical="center" wrapText="1"/>
    </xf>
    <xf numFmtId="0" fontId="70" fillId="72" borderId="1" xfId="0" applyFont="1" applyFill="1" applyBorder="1" applyAlignment="1">
      <alignment horizontal="center" vertical="top" wrapText="1"/>
    </xf>
    <xf numFmtId="0" fontId="70" fillId="72" borderId="1" xfId="0" applyFont="1" applyFill="1" applyBorder="1" applyAlignment="1">
      <alignment vertical="top" wrapText="1"/>
    </xf>
    <xf numFmtId="164" fontId="70" fillId="72" borderId="1" xfId="0" applyNumberFormat="1" applyFont="1" applyFill="1" applyBorder="1" applyAlignment="1">
      <alignment horizontal="center" vertical="center" wrapText="1"/>
    </xf>
    <xf numFmtId="164" fontId="78" fillId="72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vertical="top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justify" wrapText="1"/>
    </xf>
    <xf numFmtId="164" fontId="77" fillId="5" borderId="1" xfId="0" applyNumberFormat="1" applyFont="1" applyFill="1" applyBorder="1" applyAlignment="1">
      <alignment horizontal="center" vertical="center"/>
    </xf>
    <xf numFmtId="164" fontId="70" fillId="5" borderId="1" xfId="0" applyNumberFormat="1" applyFont="1" applyFill="1" applyBorder="1" applyAlignment="1">
      <alignment horizontal="center" vertical="center" wrapText="1"/>
    </xf>
    <xf numFmtId="164" fontId="78" fillId="5" borderId="1" xfId="0" applyNumberFormat="1" applyFont="1" applyFill="1" applyBorder="1" applyAlignment="1">
      <alignment horizontal="center" vertical="center"/>
    </xf>
    <xf numFmtId="0" fontId="80" fillId="3" borderId="1" xfId="0" applyFont="1" applyFill="1" applyBorder="1" applyAlignment="1">
      <alignment wrapText="1"/>
    </xf>
    <xf numFmtId="0" fontId="81" fillId="3" borderId="1" xfId="0" applyFont="1" applyFill="1" applyBorder="1" applyAlignment="1">
      <alignment wrapText="1"/>
    </xf>
    <xf numFmtId="0" fontId="9" fillId="3" borderId="1" xfId="1" applyFont="1" applyFill="1" applyBorder="1" applyAlignment="1">
      <alignment horizontal="center" vertical="top" wrapText="1"/>
    </xf>
    <xf numFmtId="0" fontId="82" fillId="8" borderId="1" xfId="1" applyFont="1" applyFill="1" applyBorder="1" applyAlignment="1">
      <alignment horizontal="center" vertical="top" wrapText="1"/>
    </xf>
    <xf numFmtId="49" fontId="82" fillId="7" borderId="1" xfId="1" applyNumberFormat="1" applyFont="1" applyFill="1" applyBorder="1" applyAlignment="1">
      <alignment horizontal="center" wrapText="1"/>
    </xf>
    <xf numFmtId="49" fontId="82" fillId="73" borderId="1" xfId="1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/>
    <xf numFmtId="164" fontId="5" fillId="8" borderId="1" xfId="0" applyNumberFormat="1" applyFont="1" applyFill="1" applyBorder="1"/>
    <xf numFmtId="164" fontId="5" fillId="7" borderId="1" xfId="0" applyNumberFormat="1" applyFont="1" applyFill="1" applyBorder="1"/>
    <xf numFmtId="164" fontId="5" fillId="73" borderId="1" xfId="0" applyNumberFormat="1" applyFont="1" applyFill="1" applyBorder="1"/>
    <xf numFmtId="164" fontId="6" fillId="3" borderId="1" xfId="0" applyNumberFormat="1" applyFont="1" applyFill="1" applyBorder="1"/>
    <xf numFmtId="164" fontId="6" fillId="0" borderId="1" xfId="0" applyNumberFormat="1" applyFont="1" applyBorder="1"/>
    <xf numFmtId="164" fontId="10" fillId="3" borderId="1" xfId="0" applyNumberFormat="1" applyFont="1" applyFill="1" applyBorder="1"/>
    <xf numFmtId="164" fontId="6" fillId="0" borderId="1" xfId="0" applyNumberFormat="1" applyFont="1" applyFill="1" applyBorder="1"/>
    <xf numFmtId="164" fontId="6" fillId="3" borderId="21" xfId="0" applyNumberFormat="1" applyFont="1" applyFill="1" applyBorder="1"/>
    <xf numFmtId="164" fontId="5" fillId="7" borderId="1" xfId="1" applyNumberFormat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wrapText="1"/>
    </xf>
    <xf numFmtId="164" fontId="6" fillId="3" borderId="2" xfId="0" applyNumberFormat="1" applyFont="1" applyFill="1" applyBorder="1"/>
    <xf numFmtId="164" fontId="6" fillId="3" borderId="1" xfId="1" applyNumberFormat="1" applyFont="1" applyFill="1" applyBorder="1" applyAlignment="1">
      <alignment horizontal="right" wrapText="1"/>
    </xf>
    <xf numFmtId="164" fontId="5" fillId="4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1" fillId="7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68" fillId="0" borderId="1" xfId="0" applyNumberFormat="1" applyFont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83" fillId="0" borderId="0" xfId="0" applyNumberFormat="1" applyFont="1"/>
    <xf numFmtId="164" fontId="84" fillId="0" borderId="0" xfId="0" applyNumberFormat="1" applyFont="1"/>
    <xf numFmtId="0" fontId="5" fillId="0" borderId="28" xfId="1" applyFont="1" applyFill="1" applyBorder="1" applyAlignment="1">
      <alignment horizontal="center" vertical="center" wrapText="1"/>
    </xf>
    <xf numFmtId="164" fontId="6" fillId="3" borderId="28" xfId="0" applyNumberFormat="1" applyFont="1" applyFill="1" applyBorder="1"/>
    <xf numFmtId="49" fontId="6" fillId="3" borderId="28" xfId="1" applyNumberFormat="1" applyFont="1" applyFill="1" applyBorder="1" applyAlignment="1">
      <alignment horizontal="center" wrapText="1"/>
    </xf>
    <xf numFmtId="0" fontId="6" fillId="3" borderId="28" xfId="1" applyFont="1" applyFill="1" applyBorder="1" applyAlignment="1">
      <alignment wrapText="1"/>
    </xf>
    <xf numFmtId="49" fontId="6" fillId="3" borderId="28" xfId="1" applyNumberFormat="1" applyFont="1" applyFill="1" applyBorder="1" applyAlignment="1">
      <alignment horizontal="center" vertical="top" wrapText="1"/>
    </xf>
    <xf numFmtId="0" fontId="6" fillId="3" borderId="28" xfId="1" applyFont="1" applyFill="1" applyBorder="1" applyAlignment="1">
      <alignment vertical="top" wrapText="1"/>
    </xf>
    <xf numFmtId="0" fontId="3" fillId="0" borderId="28" xfId="0" applyFont="1" applyBorder="1"/>
    <xf numFmtId="164" fontId="6" fillId="3" borderId="28" xfId="1" applyNumberFormat="1" applyFont="1" applyFill="1" applyBorder="1" applyAlignment="1">
      <alignment horizontal="center" wrapText="1"/>
    </xf>
    <xf numFmtId="0" fontId="14" fillId="0" borderId="28" xfId="1" applyFont="1" applyFill="1" applyBorder="1" applyAlignment="1">
      <alignment horizontal="center" vertical="center" wrapText="1"/>
    </xf>
    <xf numFmtId="164" fontId="5" fillId="4" borderId="28" xfId="1" applyNumberFormat="1" applyFont="1" applyFill="1" applyBorder="1" applyAlignment="1">
      <alignment horizontal="center" wrapText="1"/>
    </xf>
    <xf numFmtId="164" fontId="5" fillId="8" borderId="28" xfId="1" applyNumberFormat="1" applyFont="1" applyFill="1" applyBorder="1" applyAlignment="1">
      <alignment horizontal="center" wrapText="1"/>
    </xf>
    <xf numFmtId="0" fontId="5" fillId="3" borderId="28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8" xfId="0" applyBorder="1" applyAlignment="1">
      <alignment wrapText="1"/>
    </xf>
    <xf numFmtId="0" fontId="0" fillId="0" borderId="28" xfId="0" applyBorder="1"/>
    <xf numFmtId="0" fontId="0" fillId="0" borderId="28" xfId="0" applyFill="1" applyBorder="1" applyAlignment="1">
      <alignment wrapText="1"/>
    </xf>
    <xf numFmtId="49" fontId="6" fillId="0" borderId="28" xfId="1" applyNumberFormat="1" applyFont="1" applyFill="1" applyBorder="1" applyAlignment="1">
      <alignment horizontal="center" wrapText="1"/>
    </xf>
    <xf numFmtId="0" fontId="6" fillId="0" borderId="28" xfId="1" applyFont="1" applyBorder="1" applyAlignment="1">
      <alignment horizontal="left" wrapText="1"/>
    </xf>
    <xf numFmtId="49" fontId="5" fillId="3" borderId="28" xfId="1" applyNumberFormat="1" applyFont="1" applyFill="1" applyBorder="1" applyAlignment="1">
      <alignment horizontal="center" vertical="top" wrapText="1"/>
    </xf>
    <xf numFmtId="49" fontId="5" fillId="4" borderId="28" xfId="1" applyNumberFormat="1" applyFont="1" applyFill="1" applyBorder="1" applyAlignment="1">
      <alignment horizontal="center" wrapText="1"/>
    </xf>
    <xf numFmtId="0" fontId="5" fillId="4" borderId="28" xfId="1" applyFont="1" applyFill="1" applyBorder="1" applyAlignment="1">
      <alignment wrapText="1"/>
    </xf>
    <xf numFmtId="49" fontId="6" fillId="8" borderId="28" xfId="1" applyNumberFormat="1" applyFont="1" applyFill="1" applyBorder="1" applyAlignment="1">
      <alignment horizontal="center" wrapText="1"/>
    </xf>
    <xf numFmtId="49" fontId="5" fillId="8" borderId="28" xfId="1" applyNumberFormat="1" applyFont="1" applyFill="1" applyBorder="1" applyAlignment="1">
      <alignment horizontal="center" wrapText="1"/>
    </xf>
    <xf numFmtId="0" fontId="5" fillId="8" borderId="28" xfId="1" applyFont="1" applyFill="1" applyBorder="1" applyAlignment="1">
      <alignment wrapText="1"/>
    </xf>
    <xf numFmtId="49" fontId="6" fillId="4" borderId="28" xfId="1" applyNumberFormat="1" applyFont="1" applyFill="1" applyBorder="1" applyAlignment="1">
      <alignment horizontal="center" wrapText="1"/>
    </xf>
    <xf numFmtId="0" fontId="6" fillId="0" borderId="28" xfId="3" applyFont="1" applyBorder="1" applyAlignment="1">
      <alignment horizontal="left" vertical="top" wrapText="1"/>
    </xf>
    <xf numFmtId="0" fontId="0" fillId="0" borderId="29" xfId="0" applyBorder="1" applyAlignment="1">
      <alignment wrapText="1"/>
    </xf>
    <xf numFmtId="0" fontId="0" fillId="0" borderId="29" xfId="0" applyBorder="1"/>
    <xf numFmtId="0" fontId="0" fillId="0" borderId="29" xfId="0" applyFill="1" applyBorder="1" applyAlignment="1">
      <alignment wrapText="1"/>
    </xf>
    <xf numFmtId="0" fontId="6" fillId="3" borderId="2" xfId="3" applyNumberFormat="1" applyFont="1" applyFill="1" applyBorder="1" applyAlignment="1">
      <alignment horizontal="left" wrapText="1"/>
    </xf>
    <xf numFmtId="49" fontId="6" fillId="3" borderId="2" xfId="1" applyNumberFormat="1" applyFont="1" applyFill="1" applyBorder="1" applyAlignment="1">
      <alignment wrapText="1"/>
    </xf>
    <xf numFmtId="0" fontId="6" fillId="3" borderId="1" xfId="0" applyFont="1" applyFill="1" applyBorder="1" applyAlignment="1"/>
    <xf numFmtId="49" fontId="6" fillId="0" borderId="28" xfId="1" applyNumberFormat="1" applyFont="1" applyFill="1" applyBorder="1" applyAlignment="1">
      <alignment horizontal="center" vertical="top" wrapText="1"/>
    </xf>
    <xf numFmtId="49" fontId="5" fillId="0" borderId="28" xfId="1" applyNumberFormat="1" applyFont="1" applyFill="1" applyBorder="1" applyAlignment="1">
      <alignment horizontal="center" vertical="top" wrapText="1"/>
    </xf>
    <xf numFmtId="0" fontId="6" fillId="0" borderId="28" xfId="1" applyFont="1" applyFill="1" applyBorder="1" applyAlignment="1">
      <alignment wrapText="1"/>
    </xf>
    <xf numFmtId="0" fontId="0" fillId="0" borderId="30" xfId="0" applyFill="1" applyBorder="1"/>
    <xf numFmtId="0" fontId="0" fillId="0" borderId="30" xfId="0" applyFill="1" applyBorder="1" applyAlignment="1">
      <alignment horizontal="right"/>
    </xf>
    <xf numFmtId="0" fontId="0" fillId="0" borderId="0" xfId="0" applyFill="1" applyBorder="1"/>
    <xf numFmtId="0" fontId="0" fillId="0" borderId="28" xfId="0" applyFill="1" applyBorder="1"/>
    <xf numFmtId="0" fontId="0" fillId="0" borderId="29" xfId="0" applyFill="1" applyBorder="1"/>
    <xf numFmtId="0" fontId="6" fillId="0" borderId="28" xfId="1" applyFont="1" applyFill="1" applyBorder="1" applyAlignment="1">
      <alignment horizontal="left" wrapText="1"/>
    </xf>
    <xf numFmtId="0" fontId="3" fillId="0" borderId="29" xfId="0" applyFont="1" applyBorder="1"/>
    <xf numFmtId="49" fontId="5" fillId="3" borderId="29" xfId="1" applyNumberFormat="1" applyFont="1" applyFill="1" applyBorder="1" applyAlignment="1">
      <alignment horizontal="center" vertical="top" wrapText="1"/>
    </xf>
    <xf numFmtId="49" fontId="6" fillId="3" borderId="29" xfId="1" applyNumberFormat="1" applyFont="1" applyFill="1" applyBorder="1" applyAlignment="1">
      <alignment horizontal="center" wrapText="1"/>
    </xf>
    <xf numFmtId="164" fontId="6" fillId="3" borderId="29" xfId="0" applyNumberFormat="1" applyFont="1" applyFill="1" applyBorder="1" applyAlignment="1">
      <alignment horizontal="center"/>
    </xf>
    <xf numFmtId="164" fontId="6" fillId="0" borderId="29" xfId="1" applyNumberFormat="1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32" xfId="0" applyBorder="1" applyAlignment="1">
      <alignment wrapText="1"/>
    </xf>
    <xf numFmtId="0" fontId="0" fillId="0" borderId="32" xfId="0" applyBorder="1"/>
    <xf numFmtId="0" fontId="0" fillId="0" borderId="32" xfId="0" applyFill="1" applyBorder="1"/>
    <xf numFmtId="49" fontId="5" fillId="3" borderId="33" xfId="1" applyNumberFormat="1" applyFont="1" applyFill="1" applyBorder="1" applyAlignment="1">
      <alignment horizontal="center" vertical="top" wrapText="1"/>
    </xf>
    <xf numFmtId="49" fontId="6" fillId="3" borderId="33" xfId="1" applyNumberFormat="1" applyFont="1" applyFill="1" applyBorder="1" applyAlignment="1">
      <alignment horizontal="center" wrapText="1"/>
    </xf>
    <xf numFmtId="164" fontId="6" fillId="3" borderId="33" xfId="0" applyNumberFormat="1" applyFont="1" applyFill="1" applyBorder="1"/>
    <xf numFmtId="0" fontId="5" fillId="0" borderId="33" xfId="1" applyFont="1" applyFill="1" applyBorder="1" applyAlignment="1">
      <alignment horizontal="center" vertical="center" wrapText="1"/>
    </xf>
    <xf numFmtId="169" fontId="6" fillId="0" borderId="33" xfId="0" applyNumberFormat="1" applyFont="1" applyBorder="1"/>
    <xf numFmtId="164" fontId="5" fillId="8" borderId="33" xfId="0" applyNumberFormat="1" applyFont="1" applyFill="1" applyBorder="1"/>
    <xf numFmtId="164" fontId="5" fillId="7" borderId="33" xfId="0" applyNumberFormat="1" applyFont="1" applyFill="1" applyBorder="1"/>
    <xf numFmtId="164" fontId="5" fillId="73" borderId="33" xfId="0" applyNumberFormat="1" applyFont="1" applyFill="1" applyBorder="1"/>
    <xf numFmtId="164" fontId="6" fillId="0" borderId="33" xfId="0" applyNumberFormat="1" applyFont="1" applyBorder="1"/>
    <xf numFmtId="164" fontId="6" fillId="0" borderId="33" xfId="0" applyNumberFormat="1" applyFont="1" applyFill="1" applyBorder="1"/>
    <xf numFmtId="164" fontId="6" fillId="3" borderId="34" xfId="0" applyNumberFormat="1" applyFont="1" applyFill="1" applyBorder="1"/>
    <xf numFmtId="164" fontId="5" fillId="7" borderId="33" xfId="1" applyNumberFormat="1" applyFont="1" applyFill="1" applyBorder="1" applyAlignment="1">
      <alignment wrapText="1"/>
    </xf>
    <xf numFmtId="164" fontId="5" fillId="73" borderId="33" xfId="1" applyNumberFormat="1" applyFont="1" applyFill="1" applyBorder="1" applyAlignment="1">
      <alignment wrapText="1"/>
    </xf>
    <xf numFmtId="164" fontId="6" fillId="3" borderId="35" xfId="0" applyNumberFormat="1" applyFont="1" applyFill="1" applyBorder="1"/>
    <xf numFmtId="164" fontId="6" fillId="3" borderId="33" xfId="1" applyNumberFormat="1" applyFont="1" applyFill="1" applyBorder="1" applyAlignment="1">
      <alignment horizontal="right" wrapText="1"/>
    </xf>
    <xf numFmtId="0" fontId="0" fillId="0" borderId="36" xfId="0" applyBorder="1" applyAlignment="1">
      <alignment wrapText="1"/>
    </xf>
    <xf numFmtId="0" fontId="0" fillId="0" borderId="36" xfId="0" applyBorder="1"/>
    <xf numFmtId="0" fontId="0" fillId="0" borderId="36" xfId="0" applyFill="1" applyBorder="1" applyAlignment="1">
      <alignment wrapText="1"/>
    </xf>
    <xf numFmtId="0" fontId="10" fillId="0" borderId="0" xfId="0" applyFont="1" applyAlignment="1"/>
    <xf numFmtId="49" fontId="6" fillId="3" borderId="36" xfId="1" applyNumberFormat="1" applyFont="1" applyFill="1" applyBorder="1" applyAlignment="1">
      <alignment horizontal="center" wrapText="1"/>
    </xf>
    <xf numFmtId="0" fontId="6" fillId="3" borderId="35" xfId="1" applyFont="1" applyFill="1" applyBorder="1" applyAlignment="1">
      <alignment wrapText="1"/>
    </xf>
    <xf numFmtId="164" fontId="6" fillId="3" borderId="36" xfId="0" applyNumberFormat="1" applyFont="1" applyFill="1" applyBorder="1"/>
    <xf numFmtId="0" fontId="6" fillId="3" borderId="36" xfId="1" applyFont="1" applyFill="1" applyBorder="1" applyAlignment="1">
      <alignment wrapText="1"/>
    </xf>
    <xf numFmtId="49" fontId="6" fillId="3" borderId="36" xfId="1" applyNumberFormat="1" applyFont="1" applyFill="1" applyBorder="1" applyAlignment="1">
      <alignment horizontal="center" vertical="top" wrapText="1"/>
    </xf>
    <xf numFmtId="0" fontId="6" fillId="0" borderId="36" xfId="1" applyFont="1" applyBorder="1" applyAlignment="1">
      <alignment horizontal="left" wrapText="1"/>
    </xf>
    <xf numFmtId="49" fontId="6" fillId="0" borderId="36" xfId="1" applyNumberFormat="1" applyFont="1" applyFill="1" applyBorder="1" applyAlignment="1">
      <alignment horizontal="center" vertical="top" wrapText="1"/>
    </xf>
    <xf numFmtId="49" fontId="5" fillId="73" borderId="36" xfId="1" applyNumberFormat="1" applyFont="1" applyFill="1" applyBorder="1" applyAlignment="1">
      <alignment horizontal="center" wrapText="1"/>
    </xf>
    <xf numFmtId="49" fontId="5" fillId="3" borderId="36" xfId="1" applyNumberFormat="1" applyFont="1" applyFill="1" applyBorder="1" applyAlignment="1">
      <alignment horizontal="center" wrapText="1"/>
    </xf>
    <xf numFmtId="0" fontId="6" fillId="0" borderId="36" xfId="1" applyFont="1" applyFill="1" applyBorder="1" applyAlignment="1">
      <alignment horizontal="left" wrapText="1"/>
    </xf>
    <xf numFmtId="49" fontId="6" fillId="3" borderId="36" xfId="1" applyNumberFormat="1" applyFont="1" applyFill="1" applyBorder="1" applyAlignment="1">
      <alignment horizontal="center" vertical="center" wrapText="1"/>
    </xf>
    <xf numFmtId="0" fontId="5" fillId="73" borderId="36" xfId="1" applyFont="1" applyFill="1" applyBorder="1" applyAlignment="1">
      <alignment wrapText="1"/>
    </xf>
    <xf numFmtId="0" fontId="14" fillId="0" borderId="36" xfId="1" applyFont="1" applyFill="1" applyBorder="1" applyAlignment="1">
      <alignment horizontal="center" vertical="center" wrapText="1"/>
    </xf>
    <xf numFmtId="164" fontId="5" fillId="2" borderId="36" xfId="1" applyNumberFormat="1" applyFont="1" applyFill="1" applyBorder="1" applyAlignment="1">
      <alignment horizontal="center" wrapText="1"/>
    </xf>
    <xf numFmtId="164" fontId="5" fillId="0" borderId="36" xfId="1" applyNumberFormat="1" applyFont="1" applyFill="1" applyBorder="1" applyAlignment="1">
      <alignment horizontal="center" wrapText="1"/>
    </xf>
    <xf numFmtId="164" fontId="5" fillId="8" borderId="36" xfId="1" applyNumberFormat="1" applyFont="1" applyFill="1" applyBorder="1" applyAlignment="1">
      <alignment horizontal="center" vertical="top" wrapText="1"/>
    </xf>
    <xf numFmtId="164" fontId="5" fillId="7" borderId="36" xfId="1" applyNumberFormat="1" applyFont="1" applyFill="1" applyBorder="1" applyAlignment="1">
      <alignment horizontal="center" wrapText="1"/>
    </xf>
    <xf numFmtId="164" fontId="5" fillId="73" borderId="36" xfId="1" applyNumberFormat="1" applyFont="1" applyFill="1" applyBorder="1" applyAlignment="1">
      <alignment horizontal="center" wrapText="1"/>
    </xf>
    <xf numFmtId="164" fontId="6" fillId="3" borderId="36" xfId="1" applyNumberFormat="1" applyFont="1" applyFill="1" applyBorder="1" applyAlignment="1">
      <alignment horizontal="center" wrapText="1"/>
    </xf>
    <xf numFmtId="164" fontId="5" fillId="3" borderId="36" xfId="1" applyNumberFormat="1" applyFont="1" applyFill="1" applyBorder="1" applyAlignment="1">
      <alignment horizontal="center" wrapText="1"/>
    </xf>
    <xf numFmtId="164" fontId="6" fillId="0" borderId="36" xfId="1" applyNumberFormat="1" applyFont="1" applyFill="1" applyBorder="1" applyAlignment="1">
      <alignment horizontal="center" wrapText="1"/>
    </xf>
    <xf numFmtId="164" fontId="6" fillId="3" borderId="36" xfId="1" applyNumberFormat="1" applyFont="1" applyFill="1" applyBorder="1" applyAlignment="1">
      <alignment horizontal="center"/>
    </xf>
    <xf numFmtId="164" fontId="5" fillId="5" borderId="36" xfId="1" applyNumberFormat="1" applyFont="1" applyFill="1" applyBorder="1" applyAlignment="1">
      <alignment horizontal="center"/>
    </xf>
    <xf numFmtId="164" fontId="5" fillId="12" borderId="36" xfId="1" applyNumberFormat="1" applyFont="1" applyFill="1" applyBorder="1" applyAlignment="1">
      <alignment horizontal="center"/>
    </xf>
    <xf numFmtId="164" fontId="5" fillId="3" borderId="36" xfId="1" applyNumberFormat="1" applyFont="1" applyFill="1" applyBorder="1" applyAlignment="1">
      <alignment horizontal="center"/>
    </xf>
    <xf numFmtId="164" fontId="5" fillId="9" borderId="36" xfId="1" applyNumberFormat="1" applyFont="1" applyFill="1" applyBorder="1" applyAlignment="1">
      <alignment horizontal="center" vertical="top" wrapText="1"/>
    </xf>
    <xf numFmtId="164" fontId="5" fillId="73" borderId="36" xfId="1" applyNumberFormat="1" applyFont="1" applyFill="1" applyBorder="1" applyAlignment="1">
      <alignment horizontal="center" vertical="top" wrapText="1"/>
    </xf>
    <xf numFmtId="164" fontId="6" fillId="3" borderId="36" xfId="0" applyNumberFormat="1" applyFont="1" applyFill="1" applyBorder="1" applyAlignment="1">
      <alignment horizontal="center"/>
    </xf>
    <xf numFmtId="164" fontId="5" fillId="5" borderId="36" xfId="1" applyNumberFormat="1" applyFont="1" applyFill="1" applyBorder="1" applyAlignment="1">
      <alignment horizontal="center" wrapText="1"/>
    </xf>
    <xf numFmtId="164" fontId="5" fillId="4" borderId="36" xfId="1" applyNumberFormat="1" applyFont="1" applyFill="1" applyBorder="1" applyAlignment="1">
      <alignment horizontal="center" wrapText="1"/>
    </xf>
    <xf numFmtId="164" fontId="6" fillId="0" borderId="36" xfId="0" applyNumberFormat="1" applyFont="1" applyBorder="1" applyAlignment="1">
      <alignment horizontal="center"/>
    </xf>
    <xf numFmtId="164" fontId="10" fillId="0" borderId="36" xfId="0" applyNumberFormat="1" applyFont="1" applyBorder="1" applyAlignment="1">
      <alignment horizontal="center"/>
    </xf>
    <xf numFmtId="164" fontId="5" fillId="4" borderId="36" xfId="1" applyNumberFormat="1" applyFont="1" applyFill="1" applyBorder="1" applyAlignment="1">
      <alignment horizontal="center"/>
    </xf>
    <xf numFmtId="164" fontId="5" fillId="73" borderId="36" xfId="0" applyNumberFormat="1" applyFont="1" applyFill="1" applyBorder="1" applyAlignment="1">
      <alignment horizontal="center"/>
    </xf>
    <xf numFmtId="164" fontId="5" fillId="8" borderId="36" xfId="1" applyNumberFormat="1" applyFont="1" applyFill="1" applyBorder="1" applyAlignment="1">
      <alignment horizontal="center" wrapText="1"/>
    </xf>
    <xf numFmtId="164" fontId="5" fillId="9" borderId="36" xfId="1" applyNumberFormat="1" applyFont="1" applyFill="1" applyBorder="1" applyAlignment="1">
      <alignment horizontal="center" wrapText="1"/>
    </xf>
    <xf numFmtId="164" fontId="5" fillId="8" borderId="36" xfId="0" applyNumberFormat="1" applyFont="1" applyFill="1" applyBorder="1" applyAlignment="1">
      <alignment horizontal="center"/>
    </xf>
    <xf numFmtId="164" fontId="5" fillId="4" borderId="36" xfId="0" applyNumberFormat="1" applyFont="1" applyFill="1" applyBorder="1" applyAlignment="1">
      <alignment horizontal="center"/>
    </xf>
    <xf numFmtId="164" fontId="6" fillId="0" borderId="36" xfId="1" applyNumberFormat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 wrapText="1"/>
    </xf>
    <xf numFmtId="164" fontId="6" fillId="3" borderId="36" xfId="1" applyNumberFormat="1" applyFont="1" applyFill="1" applyBorder="1" applyAlignment="1">
      <alignment horizontal="center" vertical="top" wrapText="1"/>
    </xf>
    <xf numFmtId="164" fontId="3" fillId="3" borderId="36" xfId="0" applyNumberFormat="1" applyFont="1" applyFill="1" applyBorder="1" applyAlignment="1">
      <alignment horizontal="center"/>
    </xf>
    <xf numFmtId="164" fontId="68" fillId="0" borderId="36" xfId="0" applyNumberFormat="1" applyFont="1" applyBorder="1" applyAlignment="1">
      <alignment horizontal="center"/>
    </xf>
    <xf numFmtId="0" fontId="3" fillId="0" borderId="36" xfId="0" applyFont="1" applyBorder="1"/>
    <xf numFmtId="164" fontId="5" fillId="73" borderId="33" xfId="0" applyNumberFormat="1" applyFont="1" applyFill="1" applyBorder="1" applyAlignment="1">
      <alignment horizontal="center"/>
    </xf>
    <xf numFmtId="49" fontId="9" fillId="3" borderId="36" xfId="1" applyNumberFormat="1" applyFont="1" applyFill="1" applyBorder="1" applyAlignment="1">
      <alignment horizontal="center" wrapText="1"/>
    </xf>
    <xf numFmtId="49" fontId="6" fillId="73" borderId="36" xfId="1" applyNumberFormat="1" applyFont="1" applyFill="1" applyBorder="1" applyAlignment="1">
      <alignment horizontal="center" wrapText="1"/>
    </xf>
    <xf numFmtId="0" fontId="5" fillId="73" borderId="36" xfId="1" applyFont="1" applyFill="1" applyBorder="1" applyAlignment="1">
      <alignment horizontal="left" wrapText="1"/>
    </xf>
    <xf numFmtId="0" fontId="6" fillId="3" borderId="36" xfId="1" applyFont="1" applyFill="1" applyBorder="1" applyAlignment="1">
      <alignment vertical="top" wrapText="1"/>
    </xf>
    <xf numFmtId="49" fontId="6" fillId="0" borderId="36" xfId="1" applyNumberFormat="1" applyFont="1" applyFill="1" applyBorder="1" applyAlignment="1">
      <alignment horizontal="center" wrapText="1"/>
    </xf>
    <xf numFmtId="0" fontId="6" fillId="0" borderId="35" xfId="1" applyFont="1" applyFill="1" applyBorder="1" applyAlignment="1">
      <alignment wrapText="1"/>
    </xf>
    <xf numFmtId="0" fontId="5" fillId="73" borderId="36" xfId="1" applyNumberFormat="1" applyFont="1" applyFill="1" applyBorder="1" applyAlignment="1">
      <alignment horizontal="center" vertical="top" wrapText="1"/>
    </xf>
    <xf numFmtId="49" fontId="5" fillId="73" borderId="36" xfId="1" applyNumberFormat="1" applyFont="1" applyFill="1" applyBorder="1" applyAlignment="1">
      <alignment horizontal="center" vertical="top" wrapText="1"/>
    </xf>
    <xf numFmtId="0" fontId="5" fillId="73" borderId="36" xfId="1" applyFont="1" applyFill="1" applyBorder="1" applyAlignment="1">
      <alignment vertical="top" wrapText="1"/>
    </xf>
    <xf numFmtId="49" fontId="10" fillId="3" borderId="36" xfId="1" applyNumberFormat="1" applyFont="1" applyFill="1" applyBorder="1" applyAlignment="1">
      <alignment horizontal="center" wrapText="1"/>
    </xf>
    <xf numFmtId="0" fontId="6" fillId="3" borderId="36" xfId="1" applyFont="1" applyFill="1" applyBorder="1" applyAlignment="1">
      <alignment horizontal="left" wrapText="1"/>
    </xf>
    <xf numFmtId="0" fontId="16" fillId="3" borderId="36" xfId="0" applyFont="1" applyFill="1" applyBorder="1" applyAlignment="1">
      <alignment horizontal="center" vertical="top" wrapText="1"/>
    </xf>
    <xf numFmtId="0" fontId="80" fillId="0" borderId="36" xfId="0" applyFont="1" applyBorder="1" applyAlignment="1">
      <alignment wrapText="1"/>
    </xf>
    <xf numFmtId="164" fontId="80" fillId="3" borderId="36" xfId="0" applyNumberFormat="1" applyFont="1" applyFill="1" applyBorder="1" applyAlignment="1">
      <alignment horizontal="center" vertical="center" wrapText="1"/>
    </xf>
    <xf numFmtId="164" fontId="16" fillId="3" borderId="36" xfId="0" applyNumberFormat="1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top" wrapText="1"/>
    </xf>
    <xf numFmtId="0" fontId="16" fillId="5" borderId="36" xfId="0" applyFont="1" applyFill="1" applyBorder="1" applyAlignment="1">
      <alignment vertical="top" wrapText="1"/>
    </xf>
    <xf numFmtId="164" fontId="70" fillId="5" borderId="36" xfId="0" applyNumberFormat="1" applyFont="1" applyFill="1" applyBorder="1" applyAlignment="1">
      <alignment horizontal="center" vertical="center" wrapText="1"/>
    </xf>
    <xf numFmtId="164" fontId="78" fillId="5" borderId="36" xfId="0" applyNumberFormat="1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vertical="top" wrapText="1"/>
    </xf>
    <xf numFmtId="164" fontId="6" fillId="0" borderId="36" xfId="1" applyNumberFormat="1" applyFont="1" applyFill="1" applyBorder="1" applyAlignment="1">
      <alignment horizontal="right" wrapText="1"/>
    </xf>
    <xf numFmtId="164" fontId="6" fillId="3" borderId="3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64" fontId="5" fillId="73" borderId="36" xfId="1" applyNumberFormat="1" applyFont="1" applyFill="1" applyBorder="1" applyAlignment="1">
      <alignment horizontal="right" wrapText="1"/>
    </xf>
    <xf numFmtId="0" fontId="6" fillId="72" borderId="2" xfId="1" applyFont="1" applyFill="1" applyBorder="1" applyAlignment="1">
      <alignment wrapText="1"/>
    </xf>
    <xf numFmtId="0" fontId="6" fillId="72" borderId="36" xfId="1" applyFont="1" applyFill="1" applyBorder="1" applyAlignment="1">
      <alignment wrapText="1"/>
    </xf>
    <xf numFmtId="0" fontId="6" fillId="72" borderId="36" xfId="1" applyFont="1" applyFill="1" applyBorder="1" applyAlignment="1">
      <alignment vertical="top" wrapText="1"/>
    </xf>
    <xf numFmtId="0" fontId="6" fillId="72" borderId="35" xfId="1" applyFont="1" applyFill="1" applyBorder="1" applyAlignment="1">
      <alignment wrapText="1"/>
    </xf>
    <xf numFmtId="0" fontId="6" fillId="72" borderId="1" xfId="1" applyFont="1" applyFill="1" applyBorder="1" applyAlignment="1">
      <alignment wrapText="1"/>
    </xf>
    <xf numFmtId="0" fontId="0" fillId="0" borderId="36" xfId="0" applyFill="1" applyBorder="1"/>
    <xf numFmtId="0" fontId="16" fillId="3" borderId="37" xfId="0" applyFont="1" applyFill="1" applyBorder="1" applyAlignment="1">
      <alignment horizontal="center" vertical="top" wrapText="1"/>
    </xf>
    <xf numFmtId="164" fontId="80" fillId="3" borderId="37" xfId="0" applyNumberFormat="1" applyFont="1" applyFill="1" applyBorder="1" applyAlignment="1">
      <alignment horizontal="center" vertical="center" wrapText="1"/>
    </xf>
    <xf numFmtId="164" fontId="16" fillId="3" borderId="37" xfId="0" applyNumberFormat="1" applyFont="1" applyFill="1" applyBorder="1" applyAlignment="1">
      <alignment horizontal="center" vertical="center" wrapText="1"/>
    </xf>
    <xf numFmtId="49" fontId="6" fillId="3" borderId="37" xfId="1" applyNumberFormat="1" applyFont="1" applyFill="1" applyBorder="1" applyAlignment="1">
      <alignment horizontal="center" wrapText="1"/>
    </xf>
    <xf numFmtId="164" fontId="6" fillId="3" borderId="37" xfId="0" applyNumberFormat="1" applyFont="1" applyFill="1" applyBorder="1"/>
    <xf numFmtId="164" fontId="6" fillId="3" borderId="37" xfId="0" applyNumberFormat="1" applyFont="1" applyFill="1" applyBorder="1" applyAlignment="1">
      <alignment horizontal="center"/>
    </xf>
    <xf numFmtId="164" fontId="6" fillId="3" borderId="37" xfId="1" applyNumberFormat="1" applyFont="1" applyFill="1" applyBorder="1" applyAlignment="1">
      <alignment horizontal="center" wrapText="1"/>
    </xf>
    <xf numFmtId="0" fontId="6" fillId="74" borderId="1" xfId="1" applyFont="1" applyFill="1" applyBorder="1" applyAlignment="1">
      <alignment wrapText="1"/>
    </xf>
    <xf numFmtId="49" fontId="6" fillId="3" borderId="38" xfId="1" applyNumberFormat="1" applyFont="1" applyFill="1" applyBorder="1" applyAlignment="1">
      <alignment horizontal="center" wrapText="1"/>
    </xf>
    <xf numFmtId="0" fontId="6" fillId="3" borderId="38" xfId="1" applyFont="1" applyFill="1" applyBorder="1" applyAlignment="1">
      <alignment wrapText="1"/>
    </xf>
    <xf numFmtId="49" fontId="9" fillId="3" borderId="38" xfId="1" applyNumberFormat="1" applyFont="1" applyFill="1" applyBorder="1" applyAlignment="1">
      <alignment horizontal="center" wrapText="1"/>
    </xf>
    <xf numFmtId="49" fontId="6" fillId="3" borderId="38" xfId="1" applyNumberFormat="1" applyFont="1" applyFill="1" applyBorder="1" applyAlignment="1">
      <alignment horizontal="center" vertical="center" wrapText="1"/>
    </xf>
    <xf numFmtId="0" fontId="6" fillId="3" borderId="38" xfId="1" applyFont="1" applyFill="1" applyBorder="1" applyAlignment="1">
      <alignment vertical="center" wrapText="1"/>
    </xf>
    <xf numFmtId="49" fontId="6" fillId="74" borderId="38" xfId="1" applyNumberFormat="1" applyFont="1" applyFill="1" applyBorder="1" applyAlignment="1">
      <alignment horizontal="center" wrapText="1"/>
    </xf>
    <xf numFmtId="49" fontId="6" fillId="74" borderId="38" xfId="1" applyNumberFormat="1" applyFont="1" applyFill="1" applyBorder="1" applyAlignment="1">
      <alignment horizontal="center" vertical="center" wrapText="1"/>
    </xf>
    <xf numFmtId="0" fontId="3" fillId="0" borderId="38" xfId="0" applyFont="1" applyBorder="1"/>
    <xf numFmtId="164" fontId="6" fillId="0" borderId="38" xfId="1" applyNumberFormat="1" applyFont="1" applyFill="1" applyBorder="1" applyAlignment="1">
      <alignment horizontal="center" wrapText="1"/>
    </xf>
    <xf numFmtId="164" fontId="6" fillId="3" borderId="38" xfId="0" applyNumberFormat="1" applyFont="1" applyFill="1" applyBorder="1"/>
    <xf numFmtId="0" fontId="16" fillId="3" borderId="38" xfId="0" applyFont="1" applyFill="1" applyBorder="1" applyAlignment="1">
      <alignment horizontal="center" vertical="top" wrapText="1"/>
    </xf>
    <xf numFmtId="164" fontId="16" fillId="3" borderId="38" xfId="0" applyNumberFormat="1" applyFont="1" applyFill="1" applyBorder="1" applyAlignment="1">
      <alignment horizontal="center" vertical="center" wrapText="1"/>
    </xf>
    <xf numFmtId="0" fontId="85" fillId="5" borderId="1" xfId="0" applyFont="1" applyFill="1" applyBorder="1" applyAlignment="1">
      <alignment vertical="top" wrapText="1"/>
    </xf>
    <xf numFmtId="0" fontId="85" fillId="3" borderId="38" xfId="0" applyFont="1" applyFill="1" applyBorder="1" applyAlignment="1">
      <alignment vertical="top" wrapText="1"/>
    </xf>
    <xf numFmtId="0" fontId="80" fillId="0" borderId="1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5" fillId="0" borderId="2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24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70" fillId="0" borderId="0" xfId="561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25" xfId="0" applyFont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70" fillId="0" borderId="24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73" fillId="0" borderId="3" xfId="0" applyFont="1" applyBorder="1" applyAlignment="1">
      <alignment horizontal="right"/>
    </xf>
    <xf numFmtId="0" fontId="71" fillId="0" borderId="0" xfId="0" applyFont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3" borderId="0" xfId="1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3" borderId="0" xfId="1" applyFont="1" applyFill="1" applyAlignment="1">
      <alignment horizontal="center" vertic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1"/>
  <sheetViews>
    <sheetView tabSelected="1" view="pageBreakPreview" zoomScaleSheetLayoutView="100" workbookViewId="0">
      <selection activeCell="G17" sqref="G17"/>
    </sheetView>
  </sheetViews>
  <sheetFormatPr defaultColWidth="9.109375" defaultRowHeight="13.2" x14ac:dyDescent="0.25"/>
  <cols>
    <col min="1" max="1" width="14.6640625" style="144" customWidth="1"/>
    <col min="2" max="2" width="12.5546875" style="144" customWidth="1"/>
    <col min="3" max="3" width="44.77734375" style="144" customWidth="1"/>
    <col min="4" max="4" width="17.33203125" style="144" hidden="1" customWidth="1"/>
    <col min="5" max="5" width="15.109375" style="144" hidden="1" customWidth="1"/>
    <col min="6" max="6" width="16.88671875" style="144" customWidth="1"/>
    <col min="7" max="7" width="14.77734375" style="144" customWidth="1"/>
    <col min="8" max="8" width="0.109375" style="144" hidden="1" customWidth="1"/>
    <col min="9" max="9" width="15.109375" style="144" hidden="1" customWidth="1"/>
    <col min="10" max="10" width="0.109375" style="144" customWidth="1"/>
    <col min="11" max="11" width="15.109375" style="144" hidden="1" customWidth="1"/>
    <col min="12" max="12" width="15.109375" style="144" customWidth="1"/>
    <col min="13" max="13" width="11.88671875" style="144" bestFit="1" customWidth="1"/>
    <col min="14" max="16384" width="9.109375" style="144"/>
  </cols>
  <sheetData>
    <row r="1" spans="1:13" x14ac:dyDescent="0.25">
      <c r="G1" s="460" t="s">
        <v>667</v>
      </c>
      <c r="H1" s="460"/>
      <c r="I1" s="460"/>
      <c r="J1" s="460"/>
      <c r="K1" s="460"/>
    </row>
    <row r="2" spans="1:13" ht="14.4" customHeight="1" x14ac:dyDescent="0.25">
      <c r="F2" s="488" t="s">
        <v>596</v>
      </c>
      <c r="G2" s="488"/>
      <c r="H2" s="488"/>
      <c r="I2" s="488"/>
      <c r="J2" s="488"/>
      <c r="K2" s="488"/>
      <c r="L2" s="488"/>
    </row>
    <row r="3" spans="1:13" ht="14.4" customHeight="1" x14ac:dyDescent="0.25">
      <c r="F3" s="488" t="s">
        <v>595</v>
      </c>
      <c r="G3" s="488"/>
      <c r="H3" s="488"/>
      <c r="I3" s="488"/>
      <c r="J3" s="488"/>
      <c r="K3" s="488"/>
      <c r="L3" s="488"/>
    </row>
    <row r="4" spans="1:13" ht="14.4" customHeight="1" x14ac:dyDescent="0.25">
      <c r="F4" s="488" t="s">
        <v>594</v>
      </c>
      <c r="G4" s="488"/>
      <c r="H4" s="488"/>
      <c r="I4" s="488"/>
      <c r="J4" s="488"/>
      <c r="K4" s="488"/>
      <c r="L4" s="488"/>
    </row>
    <row r="5" spans="1:13" ht="14.4" customHeight="1" x14ac:dyDescent="0.25">
      <c r="F5" s="489" t="s">
        <v>924</v>
      </c>
      <c r="G5" s="489"/>
      <c r="H5" s="489"/>
      <c r="I5" s="489"/>
      <c r="J5" s="489"/>
      <c r="K5" s="489"/>
      <c r="L5" s="489"/>
    </row>
    <row r="6" spans="1:13" ht="33" customHeight="1" x14ac:dyDescent="0.25">
      <c r="A6" s="466" t="s">
        <v>754</v>
      </c>
      <c r="B6" s="466"/>
      <c r="C6" s="466"/>
      <c r="D6" s="466"/>
      <c r="E6" s="466"/>
      <c r="F6" s="466"/>
      <c r="G6" s="466"/>
      <c r="H6" s="466"/>
      <c r="I6" s="466"/>
      <c r="J6" s="466"/>
    </row>
    <row r="7" spans="1:13" x14ac:dyDescent="0.25">
      <c r="J7" s="132" t="s">
        <v>593</v>
      </c>
      <c r="K7" s="132" t="s">
        <v>593</v>
      </c>
      <c r="L7" s="132" t="s">
        <v>593</v>
      </c>
    </row>
    <row r="8" spans="1:13" ht="14.25" customHeight="1" x14ac:dyDescent="0.25">
      <c r="A8" s="464" t="s">
        <v>590</v>
      </c>
      <c r="B8" s="464" t="s">
        <v>589</v>
      </c>
      <c r="C8" s="464" t="s">
        <v>588</v>
      </c>
      <c r="D8" s="461" t="s">
        <v>587</v>
      </c>
      <c r="E8" s="462"/>
      <c r="F8" s="463"/>
      <c r="G8" s="130" t="s">
        <v>586</v>
      </c>
      <c r="H8" s="346"/>
      <c r="I8" s="130" t="s">
        <v>586</v>
      </c>
      <c r="J8" s="130" t="s">
        <v>585</v>
      </c>
      <c r="K8" s="130" t="s">
        <v>585</v>
      </c>
      <c r="L8" s="130" t="s">
        <v>585</v>
      </c>
    </row>
    <row r="9" spans="1:13" ht="26.25" customHeight="1" x14ac:dyDescent="0.25">
      <c r="A9" s="465"/>
      <c r="B9" s="465"/>
      <c r="C9" s="465"/>
      <c r="D9" s="292" t="s">
        <v>844</v>
      </c>
      <c r="E9" s="292" t="s">
        <v>845</v>
      </c>
      <c r="F9" s="292" t="s">
        <v>844</v>
      </c>
      <c r="G9" s="300" t="s">
        <v>844</v>
      </c>
      <c r="H9" s="292" t="s">
        <v>845</v>
      </c>
      <c r="I9" s="300" t="s">
        <v>844</v>
      </c>
      <c r="J9" s="300" t="s">
        <v>844</v>
      </c>
      <c r="K9" s="292" t="s">
        <v>845</v>
      </c>
      <c r="L9" s="300" t="s">
        <v>844</v>
      </c>
    </row>
    <row r="10" spans="1:13" ht="11.25" hidden="1" customHeight="1" x14ac:dyDescent="0.2">
      <c r="A10" s="142"/>
      <c r="B10" s="142"/>
      <c r="C10" s="142"/>
      <c r="D10" s="197">
        <f>D11-D12-D13-D14-D15</f>
        <v>8.6970430857036263E-12</v>
      </c>
      <c r="E10" s="197">
        <f>E11-E12-E13-E14-E15</f>
        <v>224077.66315000001</v>
      </c>
      <c r="F10" s="197">
        <f>F11-F12-F13-F14-F15</f>
        <v>224077.66315000004</v>
      </c>
      <c r="G10" s="197">
        <f>G11-G12-G13-G14-G15</f>
        <v>0</v>
      </c>
      <c r="H10" s="347"/>
      <c r="I10" s="197">
        <f>I11-I12-I13-I14-I15</f>
        <v>10575.716289999895</v>
      </c>
      <c r="J10" s="197">
        <f>J11-J12-J13-J14-J15</f>
        <v>-2.3283064365386963E-10</v>
      </c>
      <c r="K10" s="197">
        <f>K11-K12-K13-K14-K15</f>
        <v>13937.077269999998</v>
      </c>
      <c r="L10" s="197">
        <f>L11-L12-L13-L14-L15</f>
        <v>13937.077269999718</v>
      </c>
    </row>
    <row r="11" spans="1:13" ht="26.4" x14ac:dyDescent="0.25">
      <c r="A11" s="104" t="s">
        <v>36</v>
      </c>
      <c r="B11" s="198"/>
      <c r="C11" s="3" t="s">
        <v>35</v>
      </c>
      <c r="D11" s="267">
        <f t="shared" ref="D11:L11" si="0">D16+D64+D190+D214+D234+D302+D318+D337+D364+D454+D499+D517+D539+D550</f>
        <v>1106079.7517499998</v>
      </c>
      <c r="E11" s="267">
        <f t="shared" si="0"/>
        <v>3276.642109999998</v>
      </c>
      <c r="F11" s="267">
        <f t="shared" si="0"/>
        <v>1109356.39386</v>
      </c>
      <c r="G11" s="267">
        <f t="shared" si="0"/>
        <v>821312.95514999994</v>
      </c>
      <c r="H11" s="267">
        <f t="shared" si="0"/>
        <v>4925.1315699999996</v>
      </c>
      <c r="I11" s="267">
        <f t="shared" si="0"/>
        <v>826238.08671999979</v>
      </c>
      <c r="J11" s="267">
        <f t="shared" si="0"/>
        <v>827343.3869899998</v>
      </c>
      <c r="K11" s="267">
        <f t="shared" si="0"/>
        <v>8886.9</v>
      </c>
      <c r="L11" s="267">
        <f t="shared" si="0"/>
        <v>836230.2869899997</v>
      </c>
    </row>
    <row r="12" spans="1:13" ht="12.75" hidden="1" x14ac:dyDescent="0.2">
      <c r="A12" s="104"/>
      <c r="B12" s="198"/>
      <c r="C12" s="3" t="s">
        <v>633</v>
      </c>
      <c r="D12" s="267">
        <f t="shared" ref="D12:L12" si="1">D50+D52+D55+D105+D107+D113+D196+D210+D369+D479+D543+D165+D503</f>
        <v>130549.94474000001</v>
      </c>
      <c r="E12" s="267">
        <f t="shared" si="1"/>
        <v>-101730.94474000001</v>
      </c>
      <c r="F12" s="267">
        <f t="shared" si="1"/>
        <v>28819</v>
      </c>
      <c r="G12" s="267">
        <f t="shared" si="1"/>
        <v>32950.606079999998</v>
      </c>
      <c r="H12" s="267">
        <f t="shared" si="1"/>
        <v>-5844.41608</v>
      </c>
      <c r="I12" s="267">
        <f t="shared" si="1"/>
        <v>27106.19</v>
      </c>
      <c r="J12" s="267">
        <f t="shared" si="1"/>
        <v>31038.68953</v>
      </c>
      <c r="K12" s="267">
        <f t="shared" si="1"/>
        <v>-5632.0895300000002</v>
      </c>
      <c r="L12" s="267">
        <f t="shared" si="1"/>
        <v>25406.6</v>
      </c>
    </row>
    <row r="13" spans="1:13" ht="12.75" hidden="1" x14ac:dyDescent="0.2">
      <c r="A13" s="104"/>
      <c r="B13" s="198"/>
      <c r="C13" s="3" t="s">
        <v>634</v>
      </c>
      <c r="D13" s="267">
        <f>D34+D37+D40+D42+D45+D48+D69+D72+D86+D90+D101+D103+D140+D151+D154+D161+D192+D197+D200+D202+D204+D229+D268+D329+D370+D467+D480+D515+D544+D556+D439+D166+D80+D409+D504+D310</f>
        <v>514473.82631999993</v>
      </c>
      <c r="E13" s="267">
        <f>E34+E37+E40+E42+E45+E48+E69+E72+E86+E90+E101+E103+E140+E151+E154+E161+E192+E197+E200+E202+E204+E229+E268+E329+E370+E467+E480+E515+E544+E556+E439+E166+E80+E409+E504+E310</f>
        <v>-109324.41501</v>
      </c>
      <c r="F13" s="267">
        <f>F34+F37+F40+F42+F45+F48+F69+F72+F86+F90+F101+F103+F140+F151+F154+F161+F192+F197+F200+F202+F204+F229+F268+F329+F370+F467+F480+F515+F544+F556+F439+F166+F80+F409+F504+F310</f>
        <v>405149.41130999994</v>
      </c>
      <c r="G13" s="267">
        <f t="shared" ref="G13:L13" si="2">G34+G37+G40+G42+G45+G48+G69+G72+G86+G90+G101+G103+G140+G151+G154+G161+G192+G197+G200+G202+G204+G229+G268+G329+G370+G467+G480+G515+G544+G556+G439+G166+G80+G409+G504</f>
        <v>398564.45542000001</v>
      </c>
      <c r="H13" s="267">
        <f t="shared" si="2"/>
        <v>-865.59268999999995</v>
      </c>
      <c r="I13" s="267">
        <f t="shared" si="2"/>
        <v>397698.86272999999</v>
      </c>
      <c r="J13" s="267">
        <f t="shared" si="2"/>
        <v>377352.68881999998</v>
      </c>
      <c r="K13" s="267">
        <f t="shared" si="2"/>
        <v>-213.08499</v>
      </c>
      <c r="L13" s="267">
        <f t="shared" si="2"/>
        <v>377139.60382999998</v>
      </c>
    </row>
    <row r="14" spans="1:13" ht="12.75" hidden="1" x14ac:dyDescent="0.2">
      <c r="A14" s="104"/>
      <c r="B14" s="198"/>
      <c r="C14" s="3" t="s">
        <v>635</v>
      </c>
      <c r="D14" s="267">
        <f>D19+D21+D25+D27+D30+D60+D62+D67+D74+D76+D84+D91+D93+D95+D97+D99+D111+D120+D122+D124+D126+D128+D130+D132+D136+D138+D146+D148+D162+D167+D188+D198+D212+D216+D218+D220+D223+D230+D233+D237+D240+D242+D245+D248+D251+D253+D255+D269+D271+D286+D289+D293+D297+D301+D305+D308+D315+D317+D322+D324+D330+D331+D333+D334+D336+D341+D343+D346+D354+D357+D359+D361+D363+D371+D379+D381+D383+D395+D397+D399+D401+D404+D406+D410+D416+D419+D431+D434+D436+D440+D444+D446+D458+D463+D468+D470+D472+D475+D481+D491+D495+D516+D520+D522+D524+D526+D530+D531+D534+D537+D545+D553+D557+D560+D263+D376+D387+D390+D413+D442+D81+D448+D276+D274+D226+D527+D384+D385+D505</f>
        <v>460762.96432999993</v>
      </c>
      <c r="E14" s="267">
        <f>E19+E21+E25+E27+E30+E60+E62+E67+E74+E76+E84+E91+E93+E95+E97+E99+E111+E120+E122+E124+E126+E128+E130+E132+E136+E138+E146+E148+E162+E167+E188+E198+E212+E216+E218+E220+E223+E230+E233+E237+E240+E242+E245+E248+E251+E253+E255+E269+E271+E286+E289+E293+E297+E301+E305+E308+E315+E317+E322+E324+E330+E331+E333+E334+E336+E341+E343+E346+E354+E357+E359+E361+E363+E371+E379+E381+E383+E395+E397+E399+E401+E404+E406+E410+E416+E419+E431+E434+E436+E440+E444+E446+E458+E463+E468+E470+E472+E475+E481+E491+E495+E516+E520+E522+E524+E526+E530+E531+E534+E537+E545+E553+E557+E560+E263+E376+E387+E390+E413+E442+E81+E448+E276+E274+E226+E527+E384+E385+E505</f>
        <v>-9745.6612900000018</v>
      </c>
      <c r="F14" s="267">
        <f>F19+F21+F25+F27+F30+F60+F62+F67+F74+F76+F84+F91+F93+F95+F97+F99+F111+F120+F122+F124+F126+F128+F130+F132+F136+F138+F146+F148+F162+F167+F188+F198+F212+F216+F218+F220+F223+F230+F233+F237+F240+F242+F245+F248+F251+F253+F255+F269+F271+F286+F289+F293+F297+F301+F305+F308+F315+F317+F322+F324+F330+F331+F333+F334+F336+F341+F343+F346+F354+F357+F359+F361+F363+F371+F379+F381+F383+F395+F397+F399+F401+F404+F406+F410+F416+F419+F431+F434+F436+F440+F444+F446+F458+F463+F468+F470+F472+F475+F481+F491+F495+F516+F520+F522+F524+F526+F530+F531+F534+F537+F545+F553+F557+F560+F263+F376+F387+F390+F413+F442+F81+F448+F276+F274+F226+F527+F384+F385+F505</f>
        <v>451017.30304000003</v>
      </c>
      <c r="G14" s="267">
        <f t="shared" ref="G14:L14" si="3">G19+G21+G25+G27+G30+G60+G62+G67+G74+G76+G84+G91+G93+G95+G97+G99+G111+G120+G122+G124+G126+G128+G130+G132+G136+G138+G146+G148+G162+G167+G188+G198+G212+G216+G218+G220+G223+G230+G233+G237+G240+G242+G245+G248+G251+G253+G255+G269+G271+G286+G289+G293+G297+G301+G305+G308+G315+G317+G322+G324+G330+G331+G333+G334+G336+G341+G343+G346+G354+G357+G359+G361+G363+G371+G379+G381+G383+G395+G397+G399+G401+G404+G406+G410+G416+G419+G431+G434+G436+G440+G444+G446+G458+G463+G468+G470+G472+G475+G481+G491+G495+G516+G520+G522+G524+G526+G530+G531+G534+G537+G545+G553+G557+G560+G263+G376+G387+G390+G413+G442+G81+G448+G276+G274+G226+G527+G384+G385+G505+G549</f>
        <v>389797.89364999998</v>
      </c>
      <c r="H14" s="267">
        <f t="shared" si="3"/>
        <v>1059.4240500000001</v>
      </c>
      <c r="I14" s="267">
        <f t="shared" si="3"/>
        <v>390857.31769999996</v>
      </c>
      <c r="J14" s="267">
        <f t="shared" si="3"/>
        <v>418952.00864000007</v>
      </c>
      <c r="K14" s="267">
        <f t="shared" si="3"/>
        <v>794.99725000000012</v>
      </c>
      <c r="L14" s="267">
        <f t="shared" si="3"/>
        <v>419747.00589000003</v>
      </c>
    </row>
    <row r="15" spans="1:13" ht="12.75" hidden="1" x14ac:dyDescent="0.2">
      <c r="A15" s="104"/>
      <c r="B15" s="198"/>
      <c r="C15" s="3" t="s">
        <v>636</v>
      </c>
      <c r="D15" s="267">
        <f t="shared" ref="D15:L15" si="4">D377+D213</f>
        <v>293.01636000000002</v>
      </c>
      <c r="E15" s="267">
        <f t="shared" si="4"/>
        <v>0</v>
      </c>
      <c r="F15" s="267">
        <f t="shared" si="4"/>
        <v>293.01636000000002</v>
      </c>
      <c r="G15" s="267">
        <f t="shared" si="4"/>
        <v>0</v>
      </c>
      <c r="H15" s="267">
        <f t="shared" si="4"/>
        <v>0</v>
      </c>
      <c r="I15" s="267">
        <f t="shared" si="4"/>
        <v>0</v>
      </c>
      <c r="J15" s="267">
        <f t="shared" si="4"/>
        <v>0</v>
      </c>
      <c r="K15" s="267">
        <f t="shared" si="4"/>
        <v>0</v>
      </c>
      <c r="L15" s="267">
        <f t="shared" si="4"/>
        <v>0</v>
      </c>
    </row>
    <row r="16" spans="1:13" s="1" customFormat="1" ht="40.200000000000003" x14ac:dyDescent="0.3">
      <c r="A16" s="242" t="s">
        <v>34</v>
      </c>
      <c r="B16" s="242"/>
      <c r="C16" s="243" t="s">
        <v>33</v>
      </c>
      <c r="D16" s="268">
        <f t="shared" ref="D16:L16" si="5">D17+D23+D32+D58</f>
        <v>86458.10000000002</v>
      </c>
      <c r="E16" s="268">
        <f t="shared" si="5"/>
        <v>27.9</v>
      </c>
      <c r="F16" s="268">
        <f t="shared" si="5"/>
        <v>86486.000000000015</v>
      </c>
      <c r="G16" s="268">
        <f t="shared" si="5"/>
        <v>84510.8</v>
      </c>
      <c r="H16" s="268">
        <f t="shared" si="5"/>
        <v>8.5</v>
      </c>
      <c r="I16" s="268">
        <f t="shared" si="5"/>
        <v>84519.3</v>
      </c>
      <c r="J16" s="268">
        <f t="shared" si="5"/>
        <v>88518.300000000017</v>
      </c>
      <c r="K16" s="268">
        <f t="shared" si="5"/>
        <v>8.5</v>
      </c>
      <c r="L16" s="268">
        <f t="shared" si="5"/>
        <v>88526.800000000017</v>
      </c>
      <c r="M16" s="290">
        <f>M17+M18+M19</f>
        <v>88518.300000000017</v>
      </c>
    </row>
    <row r="17" spans="1:14" s="1" customFormat="1" ht="27" x14ac:dyDescent="0.3">
      <c r="A17" s="31" t="s">
        <v>556</v>
      </c>
      <c r="B17" s="31"/>
      <c r="C17" s="52" t="s">
        <v>555</v>
      </c>
      <c r="D17" s="269">
        <f>D18</f>
        <v>1841.1000000000001</v>
      </c>
      <c r="E17" s="269"/>
      <c r="F17" s="269">
        <f>F18</f>
        <v>1841.1000000000001</v>
      </c>
      <c r="G17" s="269">
        <f>G18</f>
        <v>69.400000000000006</v>
      </c>
      <c r="H17" s="349"/>
      <c r="I17" s="269">
        <f>I18</f>
        <v>69.400000000000006</v>
      </c>
      <c r="J17" s="269">
        <f>J18</f>
        <v>822.1</v>
      </c>
      <c r="K17" s="269"/>
      <c r="L17" s="269">
        <f>L18</f>
        <v>822.1</v>
      </c>
      <c r="M17" s="290">
        <f>J19+J21+J25+J27+J30+J60+J62</f>
        <v>82619.200000000012</v>
      </c>
      <c r="N17" s="1" t="s">
        <v>635</v>
      </c>
    </row>
    <row r="18" spans="1:14" s="1" customFormat="1" ht="27" x14ac:dyDescent="0.3">
      <c r="A18" s="223" t="s">
        <v>554</v>
      </c>
      <c r="B18" s="223"/>
      <c r="C18" s="224" t="s">
        <v>553</v>
      </c>
      <c r="D18" s="270">
        <f>D19+D21</f>
        <v>1841.1000000000001</v>
      </c>
      <c r="E18" s="270"/>
      <c r="F18" s="270">
        <f>F19+F21</f>
        <v>1841.1000000000001</v>
      </c>
      <c r="G18" s="270">
        <f>G19+G21</f>
        <v>69.400000000000006</v>
      </c>
      <c r="H18" s="350"/>
      <c r="I18" s="270">
        <f>I19+I21</f>
        <v>69.400000000000006</v>
      </c>
      <c r="J18" s="270">
        <f>J19+J21</f>
        <v>822.1</v>
      </c>
      <c r="K18" s="270"/>
      <c r="L18" s="270">
        <f>L19+L21</f>
        <v>822.1</v>
      </c>
      <c r="M18" s="290">
        <f>J34+J37+J40+J42+J45+J48</f>
        <v>2650.6</v>
      </c>
      <c r="N18" s="1" t="s">
        <v>634</v>
      </c>
    </row>
    <row r="19" spans="1:14" s="1" customFormat="1" ht="79.8" x14ac:dyDescent="0.3">
      <c r="A19" s="7" t="s">
        <v>552</v>
      </c>
      <c r="B19" s="61"/>
      <c r="C19" s="6" t="s">
        <v>637</v>
      </c>
      <c r="D19" s="271">
        <f>D20</f>
        <v>1771.7</v>
      </c>
      <c r="E19" s="271"/>
      <c r="F19" s="271">
        <f>F20</f>
        <v>1771.7</v>
      </c>
      <c r="G19" s="271">
        <f>G20</f>
        <v>0</v>
      </c>
      <c r="H19" s="345"/>
      <c r="I19" s="271">
        <f>I20</f>
        <v>0</v>
      </c>
      <c r="J19" s="271">
        <f>J20</f>
        <v>752.7</v>
      </c>
      <c r="K19" s="271"/>
      <c r="L19" s="271">
        <f>L20</f>
        <v>752.7</v>
      </c>
      <c r="M19" s="290">
        <f>J50+J52+J55</f>
        <v>3248.5</v>
      </c>
      <c r="N19" s="1" t="s">
        <v>633</v>
      </c>
    </row>
    <row r="20" spans="1:14" s="1" customFormat="1" ht="27" x14ac:dyDescent="0.3">
      <c r="A20" s="7"/>
      <c r="B20" s="7" t="s">
        <v>12</v>
      </c>
      <c r="C20" s="6" t="s">
        <v>11</v>
      </c>
      <c r="D20" s="271">
        <v>1771.7</v>
      </c>
      <c r="E20" s="271"/>
      <c r="F20" s="271">
        <v>1771.7</v>
      </c>
      <c r="G20" s="271">
        <f>752.7-752.7</f>
        <v>0</v>
      </c>
      <c r="H20" s="345"/>
      <c r="I20" s="271">
        <f>752.7-752.7</f>
        <v>0</v>
      </c>
      <c r="J20" s="271">
        <v>752.7</v>
      </c>
      <c r="K20" s="271"/>
      <c r="L20" s="271">
        <v>752.7</v>
      </c>
    </row>
    <row r="21" spans="1:14" s="1" customFormat="1" ht="40.200000000000003" x14ac:dyDescent="0.3">
      <c r="A21" s="7" t="s">
        <v>759</v>
      </c>
      <c r="B21" s="7"/>
      <c r="C21" s="6" t="s">
        <v>550</v>
      </c>
      <c r="D21" s="271">
        <f>D22</f>
        <v>69.400000000000006</v>
      </c>
      <c r="E21" s="271"/>
      <c r="F21" s="271">
        <f>F22</f>
        <v>69.400000000000006</v>
      </c>
      <c r="G21" s="271">
        <f>G22</f>
        <v>69.400000000000006</v>
      </c>
      <c r="H21" s="345"/>
      <c r="I21" s="271">
        <f>I22</f>
        <v>69.400000000000006</v>
      </c>
      <c r="J21" s="271">
        <f>J22</f>
        <v>69.400000000000006</v>
      </c>
      <c r="K21" s="271"/>
      <c r="L21" s="271">
        <f>L22</f>
        <v>69.400000000000006</v>
      </c>
    </row>
    <row r="22" spans="1:14" s="1" customFormat="1" ht="27" x14ac:dyDescent="0.3">
      <c r="A22" s="7"/>
      <c r="B22" s="7" t="s">
        <v>12</v>
      </c>
      <c r="C22" s="6" t="s">
        <v>11</v>
      </c>
      <c r="D22" s="271">
        <v>69.400000000000006</v>
      </c>
      <c r="E22" s="271"/>
      <c r="F22" s="271">
        <v>69.400000000000006</v>
      </c>
      <c r="G22" s="271">
        <v>69.400000000000006</v>
      </c>
      <c r="H22" s="345"/>
      <c r="I22" s="271">
        <v>69.400000000000006</v>
      </c>
      <c r="J22" s="271">
        <v>69.400000000000006</v>
      </c>
      <c r="K22" s="271"/>
      <c r="L22" s="271">
        <v>69.400000000000006</v>
      </c>
    </row>
    <row r="23" spans="1:14" s="1" customFormat="1" ht="53.4" x14ac:dyDescent="0.3">
      <c r="A23" s="31" t="s">
        <v>32</v>
      </c>
      <c r="B23" s="31"/>
      <c r="C23" s="30" t="s">
        <v>31</v>
      </c>
      <c r="D23" s="269">
        <f t="shared" ref="D23:L23" si="6">D24</f>
        <v>78821.200000000012</v>
      </c>
      <c r="E23" s="269">
        <f t="shared" si="6"/>
        <v>27.9</v>
      </c>
      <c r="F23" s="269">
        <f t="shared" si="6"/>
        <v>78849.100000000006</v>
      </c>
      <c r="G23" s="269">
        <f t="shared" si="6"/>
        <v>78330.100000000006</v>
      </c>
      <c r="H23" s="269">
        <f t="shared" si="6"/>
        <v>8.5</v>
      </c>
      <c r="I23" s="269">
        <f t="shared" si="6"/>
        <v>78338.600000000006</v>
      </c>
      <c r="J23" s="269">
        <f t="shared" si="6"/>
        <v>81545.100000000006</v>
      </c>
      <c r="K23" s="269">
        <f t="shared" si="6"/>
        <v>8.5</v>
      </c>
      <c r="L23" s="269">
        <f t="shared" si="6"/>
        <v>81553.600000000006</v>
      </c>
    </row>
    <row r="24" spans="1:14" s="1" customFormat="1" ht="66" customHeight="1" x14ac:dyDescent="0.3">
      <c r="A24" s="223" t="s">
        <v>30</v>
      </c>
      <c r="B24" s="223"/>
      <c r="C24" s="224" t="s">
        <v>29</v>
      </c>
      <c r="D24" s="270">
        <f t="shared" ref="D24:L24" si="7">D25+D27+D30</f>
        <v>78821.200000000012</v>
      </c>
      <c r="E24" s="270">
        <f t="shared" si="7"/>
        <v>27.9</v>
      </c>
      <c r="F24" s="270">
        <f t="shared" si="7"/>
        <v>78849.100000000006</v>
      </c>
      <c r="G24" s="270">
        <f t="shared" si="7"/>
        <v>78330.100000000006</v>
      </c>
      <c r="H24" s="270">
        <f t="shared" si="7"/>
        <v>8.5</v>
      </c>
      <c r="I24" s="270">
        <f t="shared" si="7"/>
        <v>78338.600000000006</v>
      </c>
      <c r="J24" s="270">
        <f t="shared" si="7"/>
        <v>81545.100000000006</v>
      </c>
      <c r="K24" s="270">
        <f t="shared" si="7"/>
        <v>8.5</v>
      </c>
      <c r="L24" s="270">
        <f t="shared" si="7"/>
        <v>81553.600000000006</v>
      </c>
    </row>
    <row r="25" spans="1:14" s="1" customFormat="1" ht="40.200000000000003" x14ac:dyDescent="0.3">
      <c r="A25" s="7" t="s">
        <v>581</v>
      </c>
      <c r="B25" s="7"/>
      <c r="C25" s="6" t="s">
        <v>580</v>
      </c>
      <c r="D25" s="272">
        <f>D26</f>
        <v>2911.1</v>
      </c>
      <c r="E25" s="272"/>
      <c r="F25" s="272">
        <f>F26</f>
        <v>2911.1</v>
      </c>
      <c r="G25" s="272">
        <f>G26</f>
        <v>3022</v>
      </c>
      <c r="H25" s="351"/>
      <c r="I25" s="272">
        <f>I26</f>
        <v>3022</v>
      </c>
      <c r="J25" s="272">
        <f>J26</f>
        <v>3022</v>
      </c>
      <c r="K25" s="272"/>
      <c r="L25" s="272">
        <f>L26</f>
        <v>3022</v>
      </c>
    </row>
    <row r="26" spans="1:14" s="1" customFormat="1" ht="66.599999999999994" x14ac:dyDescent="0.3">
      <c r="A26" s="7"/>
      <c r="B26" s="7" t="s">
        <v>2</v>
      </c>
      <c r="C26" s="6" t="s">
        <v>1</v>
      </c>
      <c r="D26" s="271">
        <f>2693+218.1</f>
        <v>2911.1</v>
      </c>
      <c r="E26" s="271"/>
      <c r="F26" s="271">
        <f>2693+218.1</f>
        <v>2911.1</v>
      </c>
      <c r="G26" s="271">
        <f>2795.5+226.5</f>
        <v>3022</v>
      </c>
      <c r="H26" s="345"/>
      <c r="I26" s="271">
        <f>2795.5+226.5</f>
        <v>3022</v>
      </c>
      <c r="J26" s="271">
        <f>2795.5+226.5</f>
        <v>3022</v>
      </c>
      <c r="K26" s="271"/>
      <c r="L26" s="271">
        <f>2795.5+226.5</f>
        <v>3022</v>
      </c>
    </row>
    <row r="27" spans="1:14" s="1" customFormat="1" ht="40.200000000000003" x14ac:dyDescent="0.3">
      <c r="A27" s="7" t="s">
        <v>28</v>
      </c>
      <c r="B27" s="7"/>
      <c r="C27" s="6" t="s">
        <v>852</v>
      </c>
      <c r="D27" s="271">
        <f>D28+D29</f>
        <v>67303.600000000006</v>
      </c>
      <c r="E27" s="271">
        <v>27.9</v>
      </c>
      <c r="F27" s="271">
        <f>F28+F29</f>
        <v>67331.5</v>
      </c>
      <c r="G27" s="271">
        <f>G28+G29</f>
        <v>66556</v>
      </c>
      <c r="H27" s="345">
        <v>8.5</v>
      </c>
      <c r="I27" s="271">
        <f>I28+I29</f>
        <v>66564.5</v>
      </c>
      <c r="J27" s="271">
        <f>J28+J29</f>
        <v>69771</v>
      </c>
      <c r="K27" s="271">
        <v>8.5</v>
      </c>
      <c r="L27" s="271">
        <f>L28+L29</f>
        <v>69779.5</v>
      </c>
    </row>
    <row r="28" spans="1:14" s="1" customFormat="1" ht="66.599999999999994" x14ac:dyDescent="0.3">
      <c r="A28" s="7"/>
      <c r="B28" s="7" t="s">
        <v>2</v>
      </c>
      <c r="C28" s="6" t="s">
        <v>1</v>
      </c>
      <c r="D28" s="271">
        <f>65053.6-3206.7-598.3+2682.8+157.2</f>
        <v>64088.6</v>
      </c>
      <c r="E28" s="271">
        <v>27.9</v>
      </c>
      <c r="F28" s="271">
        <f>65053.6-3206.7-598.3+2682.8+157.2+27.9</f>
        <v>64116.5</v>
      </c>
      <c r="G28" s="271">
        <f>67190.4-3206.7-617.7+3026.7+163.3</f>
        <v>66556</v>
      </c>
      <c r="H28" s="345">
        <v>8.5</v>
      </c>
      <c r="I28" s="271">
        <f>67190.4-3206.7-617.7+3026.7+163.3+8.5</f>
        <v>66564.5</v>
      </c>
      <c r="J28" s="271">
        <f>67190.4-3206.7-617.7+3026.7+163.3</f>
        <v>66556</v>
      </c>
      <c r="K28" s="271">
        <v>8.5</v>
      </c>
      <c r="L28" s="271">
        <f>67190.4-3206.7-617.7+3026.7+163.3+8.5</f>
        <v>66564.5</v>
      </c>
    </row>
    <row r="29" spans="1:14" s="1" customFormat="1" ht="27" x14ac:dyDescent="0.3">
      <c r="A29" s="7"/>
      <c r="B29" s="7" t="s">
        <v>12</v>
      </c>
      <c r="C29" s="6" t="s">
        <v>11</v>
      </c>
      <c r="D29" s="271">
        <f>3206.7+33.2-33.2+8.3</f>
        <v>3215</v>
      </c>
      <c r="E29" s="271"/>
      <c r="F29" s="271">
        <f>3206.7+33.2-33.2+8.3</f>
        <v>3215</v>
      </c>
      <c r="G29" s="271">
        <v>0</v>
      </c>
      <c r="H29" s="345"/>
      <c r="I29" s="271">
        <v>0</v>
      </c>
      <c r="J29" s="271">
        <f>3206.7+33.2-33.2+8.3</f>
        <v>3215</v>
      </c>
      <c r="K29" s="271"/>
      <c r="L29" s="271">
        <f>3206.7+33.2-33.2+8.3</f>
        <v>3215</v>
      </c>
    </row>
    <row r="30" spans="1:14" s="1" customFormat="1" ht="40.200000000000003" x14ac:dyDescent="0.3">
      <c r="A30" s="7" t="s">
        <v>292</v>
      </c>
      <c r="B30" s="7"/>
      <c r="C30" s="64" t="s">
        <v>291</v>
      </c>
      <c r="D30" s="271">
        <f>D31</f>
        <v>8606.5</v>
      </c>
      <c r="E30" s="271"/>
      <c r="F30" s="271">
        <f>F31</f>
        <v>8606.5</v>
      </c>
      <c r="G30" s="271">
        <f>G31</f>
        <v>8752.0999999999985</v>
      </c>
      <c r="H30" s="345"/>
      <c r="I30" s="271">
        <f>I31</f>
        <v>8752.0999999999985</v>
      </c>
      <c r="J30" s="271">
        <f>J31</f>
        <v>8752.0999999999985</v>
      </c>
      <c r="K30" s="271"/>
      <c r="L30" s="271">
        <f>L31</f>
        <v>8752.0999999999985</v>
      </c>
    </row>
    <row r="31" spans="1:14" s="1" customFormat="1" ht="14.4" x14ac:dyDescent="0.3">
      <c r="A31" s="7"/>
      <c r="B31" s="7" t="s">
        <v>79</v>
      </c>
      <c r="C31" s="6" t="s">
        <v>78</v>
      </c>
      <c r="D31" s="271">
        <f>8660.1+6.6-60.2</f>
        <v>8606.5</v>
      </c>
      <c r="E31" s="271"/>
      <c r="F31" s="271">
        <f>8660.1+6.6-60.2</f>
        <v>8606.5</v>
      </c>
      <c r="G31" s="271">
        <f>8812.3-60.2</f>
        <v>8752.0999999999985</v>
      </c>
      <c r="H31" s="345"/>
      <c r="I31" s="271">
        <f>8812.3-60.2</f>
        <v>8752.0999999999985</v>
      </c>
      <c r="J31" s="271">
        <f>8812.3-60.2</f>
        <v>8752.0999999999985</v>
      </c>
      <c r="K31" s="271"/>
      <c r="L31" s="271">
        <f>8812.3-60.2</f>
        <v>8752.0999999999985</v>
      </c>
    </row>
    <row r="32" spans="1:14" s="1" customFormat="1" ht="66.599999999999994" x14ac:dyDescent="0.3">
      <c r="A32" s="31" t="s">
        <v>527</v>
      </c>
      <c r="B32" s="31"/>
      <c r="C32" s="52" t="s">
        <v>639</v>
      </c>
      <c r="D32" s="269">
        <f>D33</f>
        <v>5543.8</v>
      </c>
      <c r="E32" s="269"/>
      <c r="F32" s="269">
        <f>F33</f>
        <v>5543.8</v>
      </c>
      <c r="G32" s="269">
        <f>G33</f>
        <v>5859.3</v>
      </c>
      <c r="H32" s="349"/>
      <c r="I32" s="269">
        <f>I33</f>
        <v>5859.3</v>
      </c>
      <c r="J32" s="269">
        <f>J33</f>
        <v>5899.1</v>
      </c>
      <c r="K32" s="269"/>
      <c r="L32" s="269">
        <f>L33</f>
        <v>5899.1</v>
      </c>
    </row>
    <row r="33" spans="1:12" s="1" customFormat="1" ht="40.200000000000003" x14ac:dyDescent="0.3">
      <c r="A33" s="223" t="s">
        <v>525</v>
      </c>
      <c r="B33" s="231"/>
      <c r="C33" s="224" t="s">
        <v>548</v>
      </c>
      <c r="D33" s="270">
        <f>D34+D37+D40+D42+D45+D48+D50+D52+D55</f>
        <v>5543.8</v>
      </c>
      <c r="E33" s="270"/>
      <c r="F33" s="270">
        <f>F34+F37+F40+F42+F45+F48+F50+F52+F55</f>
        <v>5543.8</v>
      </c>
      <c r="G33" s="270">
        <f>G34+G37+G40+G42+G45+G48+G50+G52+G55</f>
        <v>5859.3</v>
      </c>
      <c r="H33" s="350"/>
      <c r="I33" s="270">
        <f>I34+I37+I40+I42+I45+I48+I50+I52+I55</f>
        <v>5859.3</v>
      </c>
      <c r="J33" s="270">
        <f>J34+J37+J40+J42+J45+J48+J50+J52+J55</f>
        <v>5899.1</v>
      </c>
      <c r="K33" s="270"/>
      <c r="L33" s="270">
        <f>L34+L37+L40+L42+L45+L48+L50+L52+L55</f>
        <v>5899.1</v>
      </c>
    </row>
    <row r="34" spans="1:12" s="1" customFormat="1" ht="27" x14ac:dyDescent="0.3">
      <c r="A34" s="75" t="s">
        <v>577</v>
      </c>
      <c r="B34" s="7"/>
      <c r="C34" s="64" t="s">
        <v>576</v>
      </c>
      <c r="D34" s="271">
        <f>D35+D36</f>
        <v>1372.2</v>
      </c>
      <c r="E34" s="271"/>
      <c r="F34" s="271">
        <f>F35+F36</f>
        <v>1372.2</v>
      </c>
      <c r="G34" s="271">
        <f>G35+G36</f>
        <v>1411.5</v>
      </c>
      <c r="H34" s="345"/>
      <c r="I34" s="271">
        <f>I35+I36</f>
        <v>1411.5</v>
      </c>
      <c r="J34" s="271">
        <f>J35+J36</f>
        <v>1411.5</v>
      </c>
      <c r="K34" s="271"/>
      <c r="L34" s="271">
        <f>L35+L36</f>
        <v>1411.5</v>
      </c>
    </row>
    <row r="35" spans="1:12" s="1" customFormat="1" ht="66.599999999999994" x14ac:dyDescent="0.3">
      <c r="A35" s="7"/>
      <c r="B35" s="7" t="s">
        <v>2</v>
      </c>
      <c r="C35" s="6" t="s">
        <v>1</v>
      </c>
      <c r="D35" s="271">
        <v>1196.7</v>
      </c>
      <c r="E35" s="271"/>
      <c r="F35" s="271">
        <v>1196.7</v>
      </c>
      <c r="G35" s="271">
        <v>1242.8</v>
      </c>
      <c r="H35" s="345"/>
      <c r="I35" s="271">
        <v>1242.8</v>
      </c>
      <c r="J35" s="271">
        <v>1242.8</v>
      </c>
      <c r="K35" s="271"/>
      <c r="L35" s="271">
        <v>1242.8</v>
      </c>
    </row>
    <row r="36" spans="1:12" s="1" customFormat="1" ht="27" x14ac:dyDescent="0.3">
      <c r="A36" s="7"/>
      <c r="B36" s="7" t="s">
        <v>12</v>
      </c>
      <c r="C36" s="6" t="s">
        <v>11</v>
      </c>
      <c r="D36" s="271">
        <v>175.5</v>
      </c>
      <c r="E36" s="271"/>
      <c r="F36" s="271">
        <v>175.5</v>
      </c>
      <c r="G36" s="271">
        <v>168.7</v>
      </c>
      <c r="H36" s="345"/>
      <c r="I36" s="271">
        <v>168.7</v>
      </c>
      <c r="J36" s="271">
        <v>168.7</v>
      </c>
      <c r="K36" s="271"/>
      <c r="L36" s="271">
        <v>168.7</v>
      </c>
    </row>
    <row r="37" spans="1:12" s="1" customFormat="1" ht="40.200000000000003" x14ac:dyDescent="0.3">
      <c r="A37" s="74" t="s">
        <v>812</v>
      </c>
      <c r="B37" s="7"/>
      <c r="C37" s="64" t="s">
        <v>640</v>
      </c>
      <c r="D37" s="271">
        <f>D38+D39</f>
        <v>649.5</v>
      </c>
      <c r="E37" s="271"/>
      <c r="F37" s="271">
        <f>F38+F39</f>
        <v>649.5</v>
      </c>
      <c r="G37" s="271">
        <f>G38+G39</f>
        <v>667.6</v>
      </c>
      <c r="H37" s="345"/>
      <c r="I37" s="271">
        <f>I38+I39</f>
        <v>667.6</v>
      </c>
      <c r="J37" s="271">
        <f>J38+J39</f>
        <v>667.6</v>
      </c>
      <c r="K37" s="271"/>
      <c r="L37" s="271">
        <f>L38+L39</f>
        <v>667.6</v>
      </c>
    </row>
    <row r="38" spans="1:12" s="1" customFormat="1" ht="66.599999999999994" x14ac:dyDescent="0.3">
      <c r="A38" s="7"/>
      <c r="B38" s="7" t="s">
        <v>2</v>
      </c>
      <c r="C38" s="6" t="s">
        <v>1</v>
      </c>
      <c r="D38" s="271">
        <v>598.4</v>
      </c>
      <c r="E38" s="271"/>
      <c r="F38" s="271">
        <v>598.4</v>
      </c>
      <c r="G38" s="271">
        <v>621.4</v>
      </c>
      <c r="H38" s="345"/>
      <c r="I38" s="271">
        <v>621.4</v>
      </c>
      <c r="J38" s="271">
        <v>621.4</v>
      </c>
      <c r="K38" s="271"/>
      <c r="L38" s="271">
        <v>621.4</v>
      </c>
    </row>
    <row r="39" spans="1:12" s="1" customFormat="1" ht="27" x14ac:dyDescent="0.3">
      <c r="A39" s="7"/>
      <c r="B39" s="7" t="s">
        <v>12</v>
      </c>
      <c r="C39" s="6" t="s">
        <v>11</v>
      </c>
      <c r="D39" s="271">
        <v>51.1</v>
      </c>
      <c r="E39" s="271"/>
      <c r="F39" s="271">
        <v>51.1</v>
      </c>
      <c r="G39" s="271">
        <v>46.2</v>
      </c>
      <c r="H39" s="345"/>
      <c r="I39" s="271">
        <v>46.2</v>
      </c>
      <c r="J39" s="271">
        <v>46.2</v>
      </c>
      <c r="K39" s="271"/>
      <c r="L39" s="271">
        <v>46.2</v>
      </c>
    </row>
    <row r="40" spans="1:12" s="1" customFormat="1" ht="27" x14ac:dyDescent="0.3">
      <c r="A40" s="7" t="s">
        <v>574</v>
      </c>
      <c r="B40" s="7"/>
      <c r="C40" s="64" t="s">
        <v>573</v>
      </c>
      <c r="D40" s="271">
        <f>D41</f>
        <v>12.2</v>
      </c>
      <c r="E40" s="271"/>
      <c r="F40" s="271">
        <f>F41</f>
        <v>12.2</v>
      </c>
      <c r="G40" s="271">
        <f>G41</f>
        <v>12.2</v>
      </c>
      <c r="H40" s="345"/>
      <c r="I40" s="271">
        <f>I41</f>
        <v>12.2</v>
      </c>
      <c r="J40" s="271">
        <f>J41</f>
        <v>12.2</v>
      </c>
      <c r="K40" s="271"/>
      <c r="L40" s="271">
        <f>L41</f>
        <v>12.2</v>
      </c>
    </row>
    <row r="41" spans="1:12" s="1" customFormat="1" ht="27" x14ac:dyDescent="0.3">
      <c r="A41" s="7"/>
      <c r="B41" s="7" t="s">
        <v>12</v>
      </c>
      <c r="C41" s="6" t="s">
        <v>11</v>
      </c>
      <c r="D41" s="271">
        <v>12.2</v>
      </c>
      <c r="E41" s="271"/>
      <c r="F41" s="271">
        <v>12.2</v>
      </c>
      <c r="G41" s="271">
        <v>12.2</v>
      </c>
      <c r="H41" s="345"/>
      <c r="I41" s="271">
        <v>12.2</v>
      </c>
      <c r="J41" s="271">
        <v>12.2</v>
      </c>
      <c r="K41" s="271"/>
      <c r="L41" s="271">
        <v>12.2</v>
      </c>
    </row>
    <row r="42" spans="1:12" s="1" customFormat="1" ht="40.200000000000003" x14ac:dyDescent="0.3">
      <c r="A42" s="7" t="s">
        <v>572</v>
      </c>
      <c r="B42" s="7"/>
      <c r="C42" s="6" t="s">
        <v>571</v>
      </c>
      <c r="D42" s="271">
        <f>D43+D44</f>
        <v>73.599999999999994</v>
      </c>
      <c r="E42" s="271"/>
      <c r="F42" s="271">
        <f>F43+F44</f>
        <v>73.599999999999994</v>
      </c>
      <c r="G42" s="271">
        <f>G43+G44</f>
        <v>75.8</v>
      </c>
      <c r="H42" s="345"/>
      <c r="I42" s="271">
        <f>I43+I44</f>
        <v>75.8</v>
      </c>
      <c r="J42" s="271">
        <f>J43+J44</f>
        <v>75.8</v>
      </c>
      <c r="K42" s="271"/>
      <c r="L42" s="271">
        <f>L43+L44</f>
        <v>75.8</v>
      </c>
    </row>
    <row r="43" spans="1:12" s="1" customFormat="1" ht="66.599999999999994" x14ac:dyDescent="0.3">
      <c r="A43" s="7"/>
      <c r="B43" s="7" t="s">
        <v>2</v>
      </c>
      <c r="C43" s="6" t="s">
        <v>1</v>
      </c>
      <c r="D43" s="271">
        <v>59.8</v>
      </c>
      <c r="E43" s="271"/>
      <c r="F43" s="271">
        <v>59.8</v>
      </c>
      <c r="G43" s="271">
        <v>62.1</v>
      </c>
      <c r="H43" s="345"/>
      <c r="I43" s="271">
        <v>62.1</v>
      </c>
      <c r="J43" s="271">
        <v>62.1</v>
      </c>
      <c r="K43" s="271"/>
      <c r="L43" s="271">
        <v>62.1</v>
      </c>
    </row>
    <row r="44" spans="1:12" s="1" customFormat="1" ht="27" x14ac:dyDescent="0.3">
      <c r="A44" s="7"/>
      <c r="B44" s="7" t="s">
        <v>12</v>
      </c>
      <c r="C44" s="6" t="s">
        <v>11</v>
      </c>
      <c r="D44" s="271">
        <v>13.8</v>
      </c>
      <c r="E44" s="271"/>
      <c r="F44" s="271">
        <v>13.8</v>
      </c>
      <c r="G44" s="271">
        <v>13.7</v>
      </c>
      <c r="H44" s="345"/>
      <c r="I44" s="271">
        <v>13.7</v>
      </c>
      <c r="J44" s="271">
        <v>13.7</v>
      </c>
      <c r="K44" s="271"/>
      <c r="L44" s="271">
        <v>13.7</v>
      </c>
    </row>
    <row r="45" spans="1:12" s="1" customFormat="1" ht="40.200000000000003" x14ac:dyDescent="0.3">
      <c r="A45" s="7" t="s">
        <v>570</v>
      </c>
      <c r="B45" s="7"/>
      <c r="C45" s="12" t="s">
        <v>569</v>
      </c>
      <c r="D45" s="271">
        <f>D46+D47</f>
        <v>453.3</v>
      </c>
      <c r="E45" s="271"/>
      <c r="F45" s="271">
        <f>F46+F47</f>
        <v>453.3</v>
      </c>
      <c r="G45" s="271">
        <f>G46+G47</f>
        <v>466.8</v>
      </c>
      <c r="H45" s="345"/>
      <c r="I45" s="271">
        <f>I46+I47</f>
        <v>466.8</v>
      </c>
      <c r="J45" s="271">
        <f>J46+J47</f>
        <v>466.8</v>
      </c>
      <c r="K45" s="271"/>
      <c r="L45" s="271">
        <f>L46+L47</f>
        <v>466.8</v>
      </c>
    </row>
    <row r="46" spans="1:12" s="1" customFormat="1" ht="66.599999999999994" x14ac:dyDescent="0.3">
      <c r="A46" s="7"/>
      <c r="B46" s="7" t="s">
        <v>2</v>
      </c>
      <c r="C46" s="6" t="s">
        <v>1</v>
      </c>
      <c r="D46" s="271">
        <v>404.8</v>
      </c>
      <c r="E46" s="271"/>
      <c r="F46" s="271">
        <v>404.8</v>
      </c>
      <c r="G46" s="271">
        <v>420.5</v>
      </c>
      <c r="H46" s="345"/>
      <c r="I46" s="271">
        <v>420.5</v>
      </c>
      <c r="J46" s="271">
        <v>420.5</v>
      </c>
      <c r="K46" s="271"/>
      <c r="L46" s="271">
        <v>420.5</v>
      </c>
    </row>
    <row r="47" spans="1:12" s="1" customFormat="1" ht="27" x14ac:dyDescent="0.3">
      <c r="A47" s="7"/>
      <c r="B47" s="7" t="s">
        <v>12</v>
      </c>
      <c r="C47" s="6" t="s">
        <v>11</v>
      </c>
      <c r="D47" s="271">
        <v>48.5</v>
      </c>
      <c r="E47" s="271"/>
      <c r="F47" s="271">
        <v>48.5</v>
      </c>
      <c r="G47" s="271">
        <v>46.3</v>
      </c>
      <c r="H47" s="345"/>
      <c r="I47" s="271">
        <v>46.3</v>
      </c>
      <c r="J47" s="271">
        <v>46.3</v>
      </c>
      <c r="K47" s="271"/>
      <c r="L47" s="271">
        <v>46.3</v>
      </c>
    </row>
    <row r="48" spans="1:12" s="1" customFormat="1" ht="66.599999999999994" x14ac:dyDescent="0.3">
      <c r="A48" s="7" t="s">
        <v>568</v>
      </c>
      <c r="B48" s="7"/>
      <c r="C48" s="64" t="s">
        <v>567</v>
      </c>
      <c r="D48" s="271">
        <f>D49</f>
        <v>16.2</v>
      </c>
      <c r="E48" s="271"/>
      <c r="F48" s="271">
        <f>F49</f>
        <v>16.2</v>
      </c>
      <c r="G48" s="271">
        <f>G49</f>
        <v>16.7</v>
      </c>
      <c r="H48" s="345"/>
      <c r="I48" s="271">
        <f>I49</f>
        <v>16.7</v>
      </c>
      <c r="J48" s="271">
        <f>J49</f>
        <v>16.7</v>
      </c>
      <c r="K48" s="271"/>
      <c r="L48" s="271">
        <f>L49</f>
        <v>16.7</v>
      </c>
    </row>
    <row r="49" spans="1:12" s="1" customFormat="1" ht="27" x14ac:dyDescent="0.3">
      <c r="A49" s="7"/>
      <c r="B49" s="7" t="s">
        <v>12</v>
      </c>
      <c r="C49" s="6" t="s">
        <v>11</v>
      </c>
      <c r="D49" s="271">
        <v>16.2</v>
      </c>
      <c r="E49" s="271"/>
      <c r="F49" s="271">
        <v>16.2</v>
      </c>
      <c r="G49" s="271">
        <v>16.7</v>
      </c>
      <c r="H49" s="345"/>
      <c r="I49" s="271">
        <v>16.7</v>
      </c>
      <c r="J49" s="271">
        <v>16.7</v>
      </c>
      <c r="K49" s="271"/>
      <c r="L49" s="271">
        <v>16.7</v>
      </c>
    </row>
    <row r="50" spans="1:12" s="1" customFormat="1" ht="53.4" x14ac:dyDescent="0.3">
      <c r="A50" s="7" t="s">
        <v>558</v>
      </c>
      <c r="B50" s="7"/>
      <c r="C50" s="6" t="s">
        <v>557</v>
      </c>
      <c r="D50" s="271">
        <f>D51</f>
        <v>2.2999999999999998</v>
      </c>
      <c r="E50" s="271"/>
      <c r="F50" s="271">
        <f>F51</f>
        <v>2.2999999999999998</v>
      </c>
      <c r="G50" s="271">
        <f>G51</f>
        <v>34.5</v>
      </c>
      <c r="H50" s="345"/>
      <c r="I50" s="271">
        <f>I51</f>
        <v>34.5</v>
      </c>
      <c r="J50" s="271">
        <f>J51</f>
        <v>2.3000000000000043</v>
      </c>
      <c r="K50" s="271"/>
      <c r="L50" s="271">
        <f>L51</f>
        <v>2.3000000000000043</v>
      </c>
    </row>
    <row r="51" spans="1:12" s="1" customFormat="1" ht="27" x14ac:dyDescent="0.3">
      <c r="A51" s="7"/>
      <c r="B51" s="7" t="s">
        <v>12</v>
      </c>
      <c r="C51" s="6" t="s">
        <v>11</v>
      </c>
      <c r="D51" s="271">
        <v>2.2999999999999998</v>
      </c>
      <c r="E51" s="271"/>
      <c r="F51" s="271">
        <v>2.2999999999999998</v>
      </c>
      <c r="G51" s="271">
        <v>34.5</v>
      </c>
      <c r="H51" s="345"/>
      <c r="I51" s="271">
        <v>34.5</v>
      </c>
      <c r="J51" s="271">
        <v>2.3000000000000043</v>
      </c>
      <c r="K51" s="271"/>
      <c r="L51" s="271">
        <v>2.3000000000000043</v>
      </c>
    </row>
    <row r="52" spans="1:12" s="1" customFormat="1" ht="27" x14ac:dyDescent="0.3">
      <c r="A52" s="7" t="s">
        <v>547</v>
      </c>
      <c r="B52" s="7"/>
      <c r="C52" s="6" t="s">
        <v>546</v>
      </c>
      <c r="D52" s="271">
        <f>D53+D54</f>
        <v>1159.2</v>
      </c>
      <c r="E52" s="271"/>
      <c r="F52" s="271">
        <f>F53+F54</f>
        <v>1159.2</v>
      </c>
      <c r="G52" s="271">
        <f>G53+G54</f>
        <v>1194.9000000000001</v>
      </c>
      <c r="H52" s="345"/>
      <c r="I52" s="271">
        <f>I53+I54</f>
        <v>1194.9000000000001</v>
      </c>
      <c r="J52" s="271">
        <f>J53+J54</f>
        <v>1194.9000000000001</v>
      </c>
      <c r="K52" s="271"/>
      <c r="L52" s="271">
        <f>L53+L54</f>
        <v>1194.9000000000001</v>
      </c>
    </row>
    <row r="53" spans="1:12" s="1" customFormat="1" ht="66.599999999999994" x14ac:dyDescent="0.3">
      <c r="A53" s="7"/>
      <c r="B53" s="7" t="s">
        <v>2</v>
      </c>
      <c r="C53" s="6" t="s">
        <v>1</v>
      </c>
      <c r="D53" s="271">
        <v>1145.8</v>
      </c>
      <c r="E53" s="271"/>
      <c r="F53" s="271">
        <v>1145.8</v>
      </c>
      <c r="G53" s="271">
        <v>1190</v>
      </c>
      <c r="H53" s="345"/>
      <c r="I53" s="271">
        <v>1190</v>
      </c>
      <c r="J53" s="271">
        <v>1190</v>
      </c>
      <c r="K53" s="271"/>
      <c r="L53" s="271">
        <v>1190</v>
      </c>
    </row>
    <row r="54" spans="1:12" s="1" customFormat="1" ht="27" x14ac:dyDescent="0.3">
      <c r="A54" s="7"/>
      <c r="B54" s="7" t="s">
        <v>12</v>
      </c>
      <c r="C54" s="6" t="s">
        <v>11</v>
      </c>
      <c r="D54" s="271">
        <v>13.4000000000001</v>
      </c>
      <c r="E54" s="271"/>
      <c r="F54" s="271">
        <v>13.4000000000001</v>
      </c>
      <c r="G54" s="271">
        <v>4.9000000000000901</v>
      </c>
      <c r="H54" s="345"/>
      <c r="I54" s="271">
        <v>4.9000000000000901</v>
      </c>
      <c r="J54" s="271">
        <v>4.9000000000000901</v>
      </c>
      <c r="K54" s="271"/>
      <c r="L54" s="271">
        <v>4.9000000000000901</v>
      </c>
    </row>
    <row r="55" spans="1:12" s="1" customFormat="1" ht="40.200000000000003" x14ac:dyDescent="0.3">
      <c r="A55" s="7" t="s">
        <v>523</v>
      </c>
      <c r="B55" s="7"/>
      <c r="C55" s="444" t="s">
        <v>914</v>
      </c>
      <c r="D55" s="271">
        <f>D56+D57</f>
        <v>1805.3</v>
      </c>
      <c r="E55" s="271"/>
      <c r="F55" s="271">
        <f>F56+F57</f>
        <v>1805.3</v>
      </c>
      <c r="G55" s="271">
        <f>G56+G57</f>
        <v>1979.3</v>
      </c>
      <c r="H55" s="345"/>
      <c r="I55" s="271">
        <f>I56+I57</f>
        <v>1979.3</v>
      </c>
      <c r="J55" s="271">
        <f>J56+J57</f>
        <v>2051.2999999999997</v>
      </c>
      <c r="K55" s="271"/>
      <c r="L55" s="271">
        <f>L56+L57</f>
        <v>2051.2999999999997</v>
      </c>
    </row>
    <row r="56" spans="1:12" s="1" customFormat="1" ht="66.599999999999994" x14ac:dyDescent="0.3">
      <c r="A56" s="7"/>
      <c r="B56" s="7" t="s">
        <v>2</v>
      </c>
      <c r="C56" s="6" t="s">
        <v>1</v>
      </c>
      <c r="D56" s="271">
        <v>1719.8</v>
      </c>
      <c r="E56" s="271"/>
      <c r="F56" s="271">
        <v>1719.8</v>
      </c>
      <c r="G56" s="271">
        <v>1786.1</v>
      </c>
      <c r="H56" s="345"/>
      <c r="I56" s="271">
        <v>1786.1</v>
      </c>
      <c r="J56" s="271">
        <v>1786.1</v>
      </c>
      <c r="K56" s="271"/>
      <c r="L56" s="271">
        <v>1786.1</v>
      </c>
    </row>
    <row r="57" spans="1:12" s="1" customFormat="1" ht="27" x14ac:dyDescent="0.3">
      <c r="A57" s="7"/>
      <c r="B57" s="7" t="s">
        <v>12</v>
      </c>
      <c r="C57" s="6" t="s">
        <v>11</v>
      </c>
      <c r="D57" s="271">
        <f>131.1-45.6</f>
        <v>85.5</v>
      </c>
      <c r="E57" s="271"/>
      <c r="F57" s="271">
        <f>131.1-45.6</f>
        <v>85.5</v>
      </c>
      <c r="G57" s="271">
        <f>234-40.8</f>
        <v>193.2</v>
      </c>
      <c r="H57" s="345"/>
      <c r="I57" s="271">
        <f>234-40.8</f>
        <v>193.2</v>
      </c>
      <c r="J57" s="271">
        <f>234+31.2</f>
        <v>265.2</v>
      </c>
      <c r="K57" s="271"/>
      <c r="L57" s="271">
        <f>234+31.2</f>
        <v>265.2</v>
      </c>
    </row>
    <row r="58" spans="1:12" s="1" customFormat="1" ht="40.200000000000003" x14ac:dyDescent="0.3">
      <c r="A58" s="31" t="s">
        <v>545</v>
      </c>
      <c r="B58" s="31"/>
      <c r="C58" s="52" t="s">
        <v>544</v>
      </c>
      <c r="D58" s="269">
        <f>D59</f>
        <v>252</v>
      </c>
      <c r="E58" s="269"/>
      <c r="F58" s="269">
        <f>F59</f>
        <v>252</v>
      </c>
      <c r="G58" s="269">
        <f>G59</f>
        <v>252</v>
      </c>
      <c r="H58" s="349"/>
      <c r="I58" s="269">
        <f>I59</f>
        <v>252</v>
      </c>
      <c r="J58" s="269">
        <f>J59</f>
        <v>252</v>
      </c>
      <c r="K58" s="269"/>
      <c r="L58" s="269">
        <f>L59</f>
        <v>252</v>
      </c>
    </row>
    <row r="59" spans="1:12" s="1" customFormat="1" ht="79.8" x14ac:dyDescent="0.3">
      <c r="A59" s="223" t="s">
        <v>543</v>
      </c>
      <c r="B59" s="231"/>
      <c r="C59" s="224" t="s">
        <v>641</v>
      </c>
      <c r="D59" s="270">
        <f>D60+D62</f>
        <v>252</v>
      </c>
      <c r="E59" s="270"/>
      <c r="F59" s="270">
        <f>F60+F62</f>
        <v>252</v>
      </c>
      <c r="G59" s="270">
        <f>G60+G62</f>
        <v>252</v>
      </c>
      <c r="H59" s="350"/>
      <c r="I59" s="270">
        <f>I60+I62</f>
        <v>252</v>
      </c>
      <c r="J59" s="270">
        <f>J60+J62</f>
        <v>252</v>
      </c>
      <c r="K59" s="270"/>
      <c r="L59" s="270">
        <f>L60+L62</f>
        <v>252</v>
      </c>
    </row>
    <row r="60" spans="1:12" s="1" customFormat="1" ht="14.4" x14ac:dyDescent="0.3">
      <c r="A60" s="7" t="s">
        <v>541</v>
      </c>
      <c r="B60" s="7"/>
      <c r="C60" s="64" t="s">
        <v>540</v>
      </c>
      <c r="D60" s="271">
        <f>D61</f>
        <v>133.30000000000001</v>
      </c>
      <c r="E60" s="271"/>
      <c r="F60" s="271">
        <f>F61</f>
        <v>133.30000000000001</v>
      </c>
      <c r="G60" s="271">
        <f>G61</f>
        <v>133.30000000000001</v>
      </c>
      <c r="H60" s="345"/>
      <c r="I60" s="271">
        <f>I61</f>
        <v>133.30000000000001</v>
      </c>
      <c r="J60" s="271">
        <f>J61</f>
        <v>133.30000000000001</v>
      </c>
      <c r="K60" s="271"/>
      <c r="L60" s="271">
        <f>L61</f>
        <v>133.30000000000001</v>
      </c>
    </row>
    <row r="61" spans="1:12" s="1" customFormat="1" ht="27" x14ac:dyDescent="0.3">
      <c r="A61" s="7"/>
      <c r="B61" s="7" t="s">
        <v>12</v>
      </c>
      <c r="C61" s="6" t="s">
        <v>11</v>
      </c>
      <c r="D61" s="273">
        <f>133.3</f>
        <v>133.30000000000001</v>
      </c>
      <c r="E61" s="273"/>
      <c r="F61" s="273">
        <f>133.3</f>
        <v>133.30000000000001</v>
      </c>
      <c r="G61" s="271">
        <v>133.30000000000001</v>
      </c>
      <c r="H61" s="345"/>
      <c r="I61" s="271">
        <v>133.30000000000001</v>
      </c>
      <c r="J61" s="271">
        <v>133.30000000000001</v>
      </c>
      <c r="K61" s="271"/>
      <c r="L61" s="271">
        <v>133.30000000000001</v>
      </c>
    </row>
    <row r="62" spans="1:12" s="1" customFormat="1" ht="53.4" x14ac:dyDescent="0.3">
      <c r="A62" s="7" t="s">
        <v>539</v>
      </c>
      <c r="B62" s="7"/>
      <c r="C62" s="64" t="s">
        <v>638</v>
      </c>
      <c r="D62" s="271">
        <f>D63</f>
        <v>118.7</v>
      </c>
      <c r="E62" s="271"/>
      <c r="F62" s="271">
        <f>F63</f>
        <v>118.7</v>
      </c>
      <c r="G62" s="271">
        <f>G63</f>
        <v>118.7</v>
      </c>
      <c r="H62" s="345"/>
      <c r="I62" s="271">
        <f>I63</f>
        <v>118.7</v>
      </c>
      <c r="J62" s="271">
        <f>J63</f>
        <v>118.7</v>
      </c>
      <c r="K62" s="271"/>
      <c r="L62" s="271">
        <f>L63</f>
        <v>118.7</v>
      </c>
    </row>
    <row r="63" spans="1:12" s="1" customFormat="1" ht="27" x14ac:dyDescent="0.3">
      <c r="A63" s="7"/>
      <c r="B63" s="7" t="s">
        <v>12</v>
      </c>
      <c r="C63" s="6" t="s">
        <v>11</v>
      </c>
      <c r="D63" s="271">
        <f>34.7+84</f>
        <v>118.7</v>
      </c>
      <c r="E63" s="271"/>
      <c r="F63" s="271">
        <f>34.7+84</f>
        <v>118.7</v>
      </c>
      <c r="G63" s="271">
        <f>34.7+84</f>
        <v>118.7</v>
      </c>
      <c r="H63" s="345"/>
      <c r="I63" s="271">
        <f>34.7+84</f>
        <v>118.7</v>
      </c>
      <c r="J63" s="271">
        <f>34.7+84</f>
        <v>118.7</v>
      </c>
      <c r="K63" s="271"/>
      <c r="L63" s="271">
        <f>34.7+84</f>
        <v>118.7</v>
      </c>
    </row>
    <row r="64" spans="1:12" ht="39.6" x14ac:dyDescent="0.25">
      <c r="A64" s="242" t="s">
        <v>87</v>
      </c>
      <c r="B64" s="242"/>
      <c r="C64" s="244" t="s">
        <v>227</v>
      </c>
      <c r="D64" s="268">
        <f t="shared" ref="D64:L64" si="8">D65+D82+D118+D134+D144+D157+D186</f>
        <v>591149.76407000003</v>
      </c>
      <c r="E64" s="268">
        <f t="shared" si="8"/>
        <v>732.10000000000582</v>
      </c>
      <c r="F64" s="268">
        <f t="shared" si="8"/>
        <v>591881.86407000001</v>
      </c>
      <c r="G64" s="268">
        <f t="shared" si="8"/>
        <v>486560.48609999998</v>
      </c>
      <c r="H64" s="268">
        <f t="shared" si="8"/>
        <v>0</v>
      </c>
      <c r="I64" s="268">
        <f t="shared" si="8"/>
        <v>486560.48609999998</v>
      </c>
      <c r="J64" s="268">
        <f t="shared" si="8"/>
        <v>475190.01419999992</v>
      </c>
      <c r="K64" s="268">
        <f t="shared" si="8"/>
        <v>7500</v>
      </c>
      <c r="L64" s="268">
        <f t="shared" si="8"/>
        <v>482690.01419999992</v>
      </c>
    </row>
    <row r="65" spans="1:12" x14ac:dyDescent="0.25">
      <c r="A65" s="31" t="s">
        <v>177</v>
      </c>
      <c r="B65" s="31"/>
      <c r="C65" s="145" t="s">
        <v>176</v>
      </c>
      <c r="D65" s="269">
        <f t="shared" ref="D65:L65" si="9">D66</f>
        <v>128371.6394</v>
      </c>
      <c r="E65" s="269">
        <f t="shared" si="9"/>
        <v>0</v>
      </c>
      <c r="F65" s="269">
        <f t="shared" si="9"/>
        <v>128371.6394</v>
      </c>
      <c r="G65" s="269">
        <f t="shared" si="9"/>
        <v>122227.29399999999</v>
      </c>
      <c r="H65" s="269">
        <f t="shared" si="9"/>
        <v>0</v>
      </c>
      <c r="I65" s="269">
        <f t="shared" si="9"/>
        <v>122227.29399999999</v>
      </c>
      <c r="J65" s="269">
        <f t="shared" si="9"/>
        <v>120195.09659999999</v>
      </c>
      <c r="K65" s="269">
        <f t="shared" si="9"/>
        <v>0</v>
      </c>
      <c r="L65" s="269">
        <f t="shared" si="9"/>
        <v>120195.09659999999</v>
      </c>
    </row>
    <row r="66" spans="1:12" ht="52.8" x14ac:dyDescent="0.25">
      <c r="A66" s="223" t="s">
        <v>175</v>
      </c>
      <c r="B66" s="223"/>
      <c r="C66" s="235" t="s">
        <v>193</v>
      </c>
      <c r="D66" s="270">
        <f>D67+D69+D72+D74+D76+D78</f>
        <v>128371.6394</v>
      </c>
      <c r="E66" s="270">
        <f>E67+E69+E72+E74+E76+E78</f>
        <v>0</v>
      </c>
      <c r="F66" s="270">
        <f>F67+F69+F72+F74+F76+F78</f>
        <v>128371.6394</v>
      </c>
      <c r="G66" s="270">
        <f t="shared" ref="G66:L66" si="10">G67+G69+G72+G74+G76</f>
        <v>122227.29399999999</v>
      </c>
      <c r="H66" s="270">
        <f t="shared" si="10"/>
        <v>0</v>
      </c>
      <c r="I66" s="270">
        <f t="shared" si="10"/>
        <v>122227.29399999999</v>
      </c>
      <c r="J66" s="270">
        <f t="shared" si="10"/>
        <v>120195.09659999999</v>
      </c>
      <c r="K66" s="270">
        <f t="shared" si="10"/>
        <v>0</v>
      </c>
      <c r="L66" s="270">
        <f t="shared" si="10"/>
        <v>120195.09659999999</v>
      </c>
    </row>
    <row r="67" spans="1:12" ht="39.6" x14ac:dyDescent="0.25">
      <c r="A67" s="7" t="s">
        <v>263</v>
      </c>
      <c r="B67" s="61"/>
      <c r="C67" s="146" t="s">
        <v>262</v>
      </c>
      <c r="D67" s="271">
        <f>D68</f>
        <v>28230</v>
      </c>
      <c r="E67" s="271"/>
      <c r="F67" s="271">
        <f>F68</f>
        <v>28230</v>
      </c>
      <c r="G67" s="271">
        <f>G68</f>
        <v>28230</v>
      </c>
      <c r="H67" s="345"/>
      <c r="I67" s="271">
        <f>I68</f>
        <v>28230</v>
      </c>
      <c r="J67" s="271">
        <f>J68</f>
        <v>28230</v>
      </c>
      <c r="K67" s="271"/>
      <c r="L67" s="271">
        <f>L68</f>
        <v>28230</v>
      </c>
    </row>
    <row r="68" spans="1:12" ht="26.4" x14ac:dyDescent="0.25">
      <c r="A68" s="7"/>
      <c r="B68" s="7" t="s">
        <v>57</v>
      </c>
      <c r="C68" s="146" t="s">
        <v>56</v>
      </c>
      <c r="D68" s="271">
        <v>28230</v>
      </c>
      <c r="E68" s="271"/>
      <c r="F68" s="271">
        <v>28230</v>
      </c>
      <c r="G68" s="271">
        <v>28230</v>
      </c>
      <c r="H68" s="345"/>
      <c r="I68" s="271">
        <v>28230</v>
      </c>
      <c r="J68" s="271">
        <v>28230</v>
      </c>
      <c r="K68" s="271"/>
      <c r="L68" s="271">
        <v>28230</v>
      </c>
    </row>
    <row r="69" spans="1:12" ht="52.8" x14ac:dyDescent="0.25">
      <c r="A69" s="7" t="s">
        <v>261</v>
      </c>
      <c r="B69" s="7"/>
      <c r="C69" s="146" t="s">
        <v>260</v>
      </c>
      <c r="D69" s="271">
        <f>D70+D71</f>
        <v>93455.039399999994</v>
      </c>
      <c r="E69" s="271"/>
      <c r="F69" s="271">
        <f>F70+F71</f>
        <v>93455.039399999994</v>
      </c>
      <c r="G69" s="271">
        <f>G70+G71</f>
        <v>89362.793999999994</v>
      </c>
      <c r="H69" s="345"/>
      <c r="I69" s="271">
        <f>I70+I71</f>
        <v>89362.793999999994</v>
      </c>
      <c r="J69" s="271">
        <f>J70+J71</f>
        <v>87388.896599999993</v>
      </c>
      <c r="K69" s="271"/>
      <c r="L69" s="271">
        <f>L70+L71</f>
        <v>87388.896599999993</v>
      </c>
    </row>
    <row r="70" spans="1:12" x14ac:dyDescent="0.25">
      <c r="A70" s="7"/>
      <c r="B70" s="7" t="s">
        <v>79</v>
      </c>
      <c r="C70" s="146" t="s">
        <v>78</v>
      </c>
      <c r="D70" s="271">
        <v>23.352499999999999</v>
      </c>
      <c r="E70" s="271"/>
      <c r="F70" s="271">
        <v>23.352499999999999</v>
      </c>
      <c r="G70" s="271">
        <v>23.352499999999999</v>
      </c>
      <c r="H70" s="345"/>
      <c r="I70" s="271">
        <v>23.352499999999999</v>
      </c>
      <c r="J70" s="271">
        <v>23.352499999999999</v>
      </c>
      <c r="K70" s="271"/>
      <c r="L70" s="271">
        <v>23.352499999999999</v>
      </c>
    </row>
    <row r="71" spans="1:12" ht="26.4" x14ac:dyDescent="0.25">
      <c r="A71" s="7"/>
      <c r="B71" s="7" t="s">
        <v>57</v>
      </c>
      <c r="C71" s="146" t="s">
        <v>56</v>
      </c>
      <c r="D71" s="271">
        <v>93431.686900000001</v>
      </c>
      <c r="E71" s="271"/>
      <c r="F71" s="271">
        <v>93431.686900000001</v>
      </c>
      <c r="G71" s="271">
        <v>89339.441500000001</v>
      </c>
      <c r="H71" s="345"/>
      <c r="I71" s="271">
        <v>89339.441500000001</v>
      </c>
      <c r="J71" s="271">
        <v>87365.544099999999</v>
      </c>
      <c r="K71" s="271"/>
      <c r="L71" s="271">
        <v>87365.544099999999</v>
      </c>
    </row>
    <row r="72" spans="1:12" ht="66" x14ac:dyDescent="0.25">
      <c r="A72" s="7" t="s">
        <v>173</v>
      </c>
      <c r="B72" s="7"/>
      <c r="C72" s="146" t="s">
        <v>9</v>
      </c>
      <c r="D72" s="271">
        <f>D73</f>
        <v>4574.3</v>
      </c>
      <c r="E72" s="271"/>
      <c r="F72" s="271">
        <f>F73</f>
        <v>4574.3</v>
      </c>
      <c r="G72" s="271">
        <f>G73</f>
        <v>3572.2</v>
      </c>
      <c r="H72" s="345"/>
      <c r="I72" s="271">
        <f>I73</f>
        <v>3572.2</v>
      </c>
      <c r="J72" s="271">
        <f>J73</f>
        <v>3513.9</v>
      </c>
      <c r="K72" s="271"/>
      <c r="L72" s="271">
        <f>L73</f>
        <v>3513.9</v>
      </c>
    </row>
    <row r="73" spans="1:12" ht="26.4" x14ac:dyDescent="0.25">
      <c r="A73" s="7"/>
      <c r="B73" s="7" t="s">
        <v>57</v>
      </c>
      <c r="C73" s="146" t="s">
        <v>56</v>
      </c>
      <c r="D73" s="271">
        <v>4574.3</v>
      </c>
      <c r="E73" s="271"/>
      <c r="F73" s="271">
        <v>4574.3</v>
      </c>
      <c r="G73" s="271">
        <v>3572.2</v>
      </c>
      <c r="H73" s="345"/>
      <c r="I73" s="271">
        <v>3572.2</v>
      </c>
      <c r="J73" s="271">
        <v>3513.9</v>
      </c>
      <c r="K73" s="271"/>
      <c r="L73" s="271">
        <v>3513.9</v>
      </c>
    </row>
    <row r="74" spans="1:12" ht="26.4" x14ac:dyDescent="0.25">
      <c r="A74" s="7" t="s">
        <v>259</v>
      </c>
      <c r="B74" s="7"/>
      <c r="C74" s="146" t="s">
        <v>258</v>
      </c>
      <c r="D74" s="271">
        <f>D75</f>
        <v>924.1</v>
      </c>
      <c r="E74" s="271"/>
      <c r="F74" s="271">
        <f>F75</f>
        <v>924.1</v>
      </c>
      <c r="G74" s="271">
        <f>G75</f>
        <v>924.1</v>
      </c>
      <c r="H74" s="345"/>
      <c r="I74" s="271">
        <f>I75</f>
        <v>924.1</v>
      </c>
      <c r="J74" s="271">
        <f>J75</f>
        <v>924.1</v>
      </c>
      <c r="K74" s="271"/>
      <c r="L74" s="271">
        <f>L75</f>
        <v>924.1</v>
      </c>
    </row>
    <row r="75" spans="1:12" ht="26.4" x14ac:dyDescent="0.25">
      <c r="A75" s="7"/>
      <c r="B75" s="7" t="s">
        <v>57</v>
      </c>
      <c r="C75" s="146" t="s">
        <v>56</v>
      </c>
      <c r="D75" s="271">
        <v>924.1</v>
      </c>
      <c r="E75" s="271"/>
      <c r="F75" s="271">
        <v>924.1</v>
      </c>
      <c r="G75" s="271">
        <v>924.1</v>
      </c>
      <c r="H75" s="345"/>
      <c r="I75" s="271">
        <v>924.1</v>
      </c>
      <c r="J75" s="271">
        <v>924.1</v>
      </c>
      <c r="K75" s="271"/>
      <c r="L75" s="271">
        <v>924.1</v>
      </c>
    </row>
    <row r="76" spans="1:12" ht="39.6" x14ac:dyDescent="0.25">
      <c r="A76" s="55" t="s">
        <v>192</v>
      </c>
      <c r="B76" s="7"/>
      <c r="C76" s="146" t="s">
        <v>758</v>
      </c>
      <c r="D76" s="271">
        <f>D77</f>
        <v>138.19999999999999</v>
      </c>
      <c r="E76" s="271"/>
      <c r="F76" s="271">
        <f>F77</f>
        <v>138.19999999999999</v>
      </c>
      <c r="G76" s="271">
        <f>G77</f>
        <v>138.19999999999999</v>
      </c>
      <c r="H76" s="345"/>
      <c r="I76" s="271">
        <f>I77</f>
        <v>138.19999999999999</v>
      </c>
      <c r="J76" s="271">
        <f>J77</f>
        <v>138.19999999999999</v>
      </c>
      <c r="K76" s="271"/>
      <c r="L76" s="271">
        <f>L77</f>
        <v>138.19999999999999</v>
      </c>
    </row>
    <row r="77" spans="1:12" ht="26.4" x14ac:dyDescent="0.25">
      <c r="A77" s="55"/>
      <c r="B77" s="7" t="s">
        <v>57</v>
      </c>
      <c r="C77" s="146" t="s">
        <v>56</v>
      </c>
      <c r="D77" s="271">
        <v>138.19999999999999</v>
      </c>
      <c r="E77" s="271"/>
      <c r="F77" s="271">
        <v>138.19999999999999</v>
      </c>
      <c r="G77" s="271">
        <v>138.19999999999999</v>
      </c>
      <c r="H77" s="345"/>
      <c r="I77" s="271">
        <v>138.19999999999999</v>
      </c>
      <c r="J77" s="271">
        <v>138.19999999999999</v>
      </c>
      <c r="K77" s="271"/>
      <c r="L77" s="271">
        <v>138.19999999999999</v>
      </c>
    </row>
    <row r="78" spans="1:12" ht="39.6" x14ac:dyDescent="0.25">
      <c r="A78" s="7" t="s">
        <v>820</v>
      </c>
      <c r="B78" s="7"/>
      <c r="C78" s="146" t="s">
        <v>642</v>
      </c>
      <c r="D78" s="271">
        <f>D79</f>
        <v>1050</v>
      </c>
      <c r="E78" s="271"/>
      <c r="F78" s="271">
        <f>F79</f>
        <v>1050</v>
      </c>
      <c r="G78" s="271">
        <v>0</v>
      </c>
      <c r="H78" s="345"/>
      <c r="I78" s="271">
        <v>0</v>
      </c>
      <c r="J78" s="271">
        <v>0</v>
      </c>
      <c r="K78" s="271"/>
      <c r="L78" s="271">
        <v>0</v>
      </c>
    </row>
    <row r="79" spans="1:12" ht="26.4" x14ac:dyDescent="0.25">
      <c r="A79" s="7"/>
      <c r="B79" s="7" t="s">
        <v>57</v>
      </c>
      <c r="C79" s="146" t="s">
        <v>56</v>
      </c>
      <c r="D79" s="271">
        <f>D80+D81</f>
        <v>1050</v>
      </c>
      <c r="E79" s="271"/>
      <c r="F79" s="271">
        <f>F80+F81</f>
        <v>1050</v>
      </c>
      <c r="G79" s="271">
        <v>0</v>
      </c>
      <c r="H79" s="345"/>
      <c r="I79" s="271">
        <v>0</v>
      </c>
      <c r="J79" s="271">
        <v>0</v>
      </c>
      <c r="K79" s="271"/>
      <c r="L79" s="271">
        <v>0</v>
      </c>
    </row>
    <row r="80" spans="1:12" x14ac:dyDescent="0.25">
      <c r="A80" s="7"/>
      <c r="B80" s="7"/>
      <c r="C80" s="146" t="s">
        <v>165</v>
      </c>
      <c r="D80" s="271">
        <v>1050</v>
      </c>
      <c r="E80" s="271"/>
      <c r="F80" s="271">
        <v>1050</v>
      </c>
      <c r="G80" s="271">
        <v>0</v>
      </c>
      <c r="H80" s="345"/>
      <c r="I80" s="271">
        <v>0</v>
      </c>
      <c r="J80" s="271">
        <v>0</v>
      </c>
      <c r="K80" s="271"/>
      <c r="L80" s="271">
        <v>0</v>
      </c>
    </row>
    <row r="81" spans="1:12" x14ac:dyDescent="0.25">
      <c r="A81" s="7"/>
      <c r="B81" s="7"/>
      <c r="C81" s="146" t="s">
        <v>164</v>
      </c>
      <c r="D81" s="274">
        <v>0</v>
      </c>
      <c r="E81" s="274"/>
      <c r="F81" s="274">
        <v>0</v>
      </c>
      <c r="G81" s="274">
        <v>0</v>
      </c>
      <c r="H81" s="352"/>
      <c r="I81" s="274">
        <v>0</v>
      </c>
      <c r="J81" s="274">
        <v>0</v>
      </c>
      <c r="K81" s="274"/>
      <c r="L81" s="274">
        <v>0</v>
      </c>
    </row>
    <row r="82" spans="1:12" ht="26.4" x14ac:dyDescent="0.25">
      <c r="A82" s="31" t="s">
        <v>191</v>
      </c>
      <c r="B82" s="31"/>
      <c r="C82" s="145" t="s">
        <v>190</v>
      </c>
      <c r="D82" s="269">
        <f t="shared" ref="D82:J82" si="11">D83+D92+D109+D112</f>
        <v>312395.73800000001</v>
      </c>
      <c r="E82" s="269">
        <f>E83+E92+E109+E112+E115</f>
        <v>0</v>
      </c>
      <c r="F82" s="269">
        <f>F83+F92+F109+F112+F115</f>
        <v>312395.73800000001</v>
      </c>
      <c r="G82" s="269">
        <f t="shared" si="11"/>
        <v>300251.54719999997</v>
      </c>
      <c r="H82" s="269">
        <f>H83+H92+H109+H112+H115</f>
        <v>0</v>
      </c>
      <c r="I82" s="269">
        <f>I83+I92+I109+I112+I115</f>
        <v>300251.54719999997</v>
      </c>
      <c r="J82" s="269">
        <f t="shared" si="11"/>
        <v>290834.84819999995</v>
      </c>
      <c r="K82" s="269">
        <f>K83+K92+K109+K112+K115</f>
        <v>0</v>
      </c>
      <c r="L82" s="269">
        <f>L83+L92+L109+L112+L115</f>
        <v>290834.84819999995</v>
      </c>
    </row>
    <row r="83" spans="1:12" ht="52.8" x14ac:dyDescent="0.25">
      <c r="A83" s="223" t="s">
        <v>255</v>
      </c>
      <c r="B83" s="223"/>
      <c r="C83" s="235" t="s">
        <v>174</v>
      </c>
      <c r="D83" s="270">
        <f t="shared" ref="D83:L83" si="12">D84+D86+D88</f>
        <v>263357.32459999999</v>
      </c>
      <c r="E83" s="270">
        <f t="shared" si="12"/>
        <v>0</v>
      </c>
      <c r="F83" s="270">
        <f>F84+F86+F88</f>
        <v>263357.32459999999</v>
      </c>
      <c r="G83" s="270">
        <f t="shared" si="12"/>
        <v>259433.1974</v>
      </c>
      <c r="H83" s="270">
        <f t="shared" si="12"/>
        <v>0</v>
      </c>
      <c r="I83" s="270">
        <f t="shared" si="12"/>
        <v>259433.1974</v>
      </c>
      <c r="J83" s="270">
        <f t="shared" si="12"/>
        <v>250831.19839999999</v>
      </c>
      <c r="K83" s="270"/>
      <c r="L83" s="270">
        <f t="shared" si="12"/>
        <v>250831.19839999999</v>
      </c>
    </row>
    <row r="84" spans="1:12" ht="39.6" x14ac:dyDescent="0.25">
      <c r="A84" s="7" t="s">
        <v>254</v>
      </c>
      <c r="B84" s="61"/>
      <c r="C84" s="146" t="s">
        <v>253</v>
      </c>
      <c r="D84" s="271">
        <f>D85</f>
        <v>35235.9</v>
      </c>
      <c r="E84" s="271"/>
      <c r="F84" s="271">
        <f>F85</f>
        <v>35235.9</v>
      </c>
      <c r="G84" s="271">
        <f>G85</f>
        <v>35235.9</v>
      </c>
      <c r="H84" s="345"/>
      <c r="I84" s="271">
        <f>I85</f>
        <v>35235.9</v>
      </c>
      <c r="J84" s="271">
        <f>J85</f>
        <v>35235.9</v>
      </c>
      <c r="K84" s="271"/>
      <c r="L84" s="271">
        <f>L85</f>
        <v>35235.9</v>
      </c>
    </row>
    <row r="85" spans="1:12" ht="26.4" x14ac:dyDescent="0.25">
      <c r="A85" s="7"/>
      <c r="B85" s="7" t="s">
        <v>57</v>
      </c>
      <c r="C85" s="146" t="s">
        <v>56</v>
      </c>
      <c r="D85" s="271">
        <v>35235.9</v>
      </c>
      <c r="E85" s="271"/>
      <c r="F85" s="271">
        <v>35235.9</v>
      </c>
      <c r="G85" s="271">
        <v>35235.9</v>
      </c>
      <c r="H85" s="345"/>
      <c r="I85" s="271">
        <v>35235.9</v>
      </c>
      <c r="J85" s="271">
        <v>35235.9</v>
      </c>
      <c r="K85" s="271"/>
      <c r="L85" s="271">
        <v>35235.9</v>
      </c>
    </row>
    <row r="86" spans="1:12" ht="66" x14ac:dyDescent="0.25">
      <c r="A86" s="7" t="s">
        <v>252</v>
      </c>
      <c r="B86" s="7"/>
      <c r="C86" s="146" t="s">
        <v>251</v>
      </c>
      <c r="D86" s="271">
        <f>D87</f>
        <v>218466.32459999999</v>
      </c>
      <c r="E86" s="271"/>
      <c r="F86" s="271">
        <f>F87</f>
        <v>218466.32459999999</v>
      </c>
      <c r="G86" s="271">
        <f>G87</f>
        <v>214542.1974</v>
      </c>
      <c r="H86" s="345"/>
      <c r="I86" s="271">
        <f>I87</f>
        <v>214542.1974</v>
      </c>
      <c r="J86" s="271">
        <f>J87</f>
        <v>205940.19839999999</v>
      </c>
      <c r="K86" s="271"/>
      <c r="L86" s="271">
        <f>L87</f>
        <v>205940.19839999999</v>
      </c>
    </row>
    <row r="87" spans="1:12" ht="26.4" x14ac:dyDescent="0.25">
      <c r="A87" s="7"/>
      <c r="B87" s="7" t="s">
        <v>57</v>
      </c>
      <c r="C87" s="146" t="s">
        <v>56</v>
      </c>
      <c r="D87" s="271">
        <v>218466.32459999999</v>
      </c>
      <c r="E87" s="271"/>
      <c r="F87" s="271">
        <v>218466.32459999999</v>
      </c>
      <c r="G87" s="271">
        <v>214542.1974</v>
      </c>
      <c r="H87" s="345"/>
      <c r="I87" s="271">
        <v>214542.1974</v>
      </c>
      <c r="J87" s="271">
        <v>205940.19839999999</v>
      </c>
      <c r="K87" s="271"/>
      <c r="L87" s="271">
        <v>205940.19839999999</v>
      </c>
    </row>
    <row r="88" spans="1:12" ht="105.6" x14ac:dyDescent="0.25">
      <c r="A88" s="7" t="s">
        <v>250</v>
      </c>
      <c r="B88" s="7"/>
      <c r="C88" s="146" t="s">
        <v>249</v>
      </c>
      <c r="D88" s="271">
        <f>D89</f>
        <v>9655.1</v>
      </c>
      <c r="E88" s="271"/>
      <c r="F88" s="271">
        <f>F89</f>
        <v>9655.1</v>
      </c>
      <c r="G88" s="271">
        <f>G89</f>
        <v>9655.1</v>
      </c>
      <c r="H88" s="345"/>
      <c r="I88" s="271">
        <f>I89</f>
        <v>9655.1</v>
      </c>
      <c r="J88" s="271">
        <f>J89</f>
        <v>9655.1</v>
      </c>
      <c r="K88" s="271"/>
      <c r="L88" s="271">
        <f>L89</f>
        <v>9655.1</v>
      </c>
    </row>
    <row r="89" spans="1:12" ht="26.4" x14ac:dyDescent="0.25">
      <c r="A89" s="7"/>
      <c r="B89" s="7" t="s">
        <v>57</v>
      </c>
      <c r="C89" s="146" t="s">
        <v>56</v>
      </c>
      <c r="D89" s="271">
        <f>D90+D91</f>
        <v>9655.1</v>
      </c>
      <c r="E89" s="271"/>
      <c r="F89" s="271">
        <f>F90+F91</f>
        <v>9655.1</v>
      </c>
      <c r="G89" s="271">
        <f>G90+G91</f>
        <v>9655.1</v>
      </c>
      <c r="H89" s="345"/>
      <c r="I89" s="271">
        <f>I90+I91</f>
        <v>9655.1</v>
      </c>
      <c r="J89" s="271">
        <f>J90+J91</f>
        <v>9655.1</v>
      </c>
      <c r="K89" s="271"/>
      <c r="L89" s="271">
        <f>L90+L91</f>
        <v>9655.1</v>
      </c>
    </row>
    <row r="90" spans="1:12" x14ac:dyDescent="0.25">
      <c r="A90" s="7"/>
      <c r="B90" s="7"/>
      <c r="C90" s="146" t="s">
        <v>165</v>
      </c>
      <c r="D90" s="271">
        <v>8930.9</v>
      </c>
      <c r="E90" s="271"/>
      <c r="F90" s="271">
        <v>8930.9</v>
      </c>
      <c r="G90" s="271">
        <v>8930.9</v>
      </c>
      <c r="H90" s="345"/>
      <c r="I90" s="271">
        <v>8930.9</v>
      </c>
      <c r="J90" s="271">
        <v>8930.9</v>
      </c>
      <c r="K90" s="271"/>
      <c r="L90" s="271">
        <v>8930.9</v>
      </c>
    </row>
    <row r="91" spans="1:12" x14ac:dyDescent="0.25">
      <c r="A91" s="7"/>
      <c r="B91" s="7"/>
      <c r="C91" s="146" t="s">
        <v>164</v>
      </c>
      <c r="D91" s="271">
        <v>724.2</v>
      </c>
      <c r="E91" s="271"/>
      <c r="F91" s="271">
        <v>724.2</v>
      </c>
      <c r="G91" s="275">
        <v>724.2</v>
      </c>
      <c r="H91" s="353"/>
      <c r="I91" s="275">
        <v>724.2</v>
      </c>
      <c r="J91" s="271">
        <v>724.2</v>
      </c>
      <c r="K91" s="271"/>
      <c r="L91" s="271">
        <v>724.2</v>
      </c>
    </row>
    <row r="92" spans="1:12" ht="52.8" x14ac:dyDescent="0.25">
      <c r="A92" s="223" t="s">
        <v>189</v>
      </c>
      <c r="B92" s="223"/>
      <c r="C92" s="235" t="s">
        <v>188</v>
      </c>
      <c r="D92" s="270">
        <f>D93+D95+D97+D99+D101+D103+D105+D107</f>
        <v>40418.599999999991</v>
      </c>
      <c r="E92" s="270"/>
      <c r="F92" s="270">
        <f>F93+F95+F97+F99+F101+F103+F105+F107</f>
        <v>40418.599999999991</v>
      </c>
      <c r="G92" s="270">
        <f>G93+G95+G97+G99+G101+G103+G105+G107</f>
        <v>40300.299999999996</v>
      </c>
      <c r="H92" s="350"/>
      <c r="I92" s="270">
        <f>I93+I95+I97+I99+I101+I103+I105+I107</f>
        <v>40300.299999999996</v>
      </c>
      <c r="J92" s="270">
        <f>J93+J95+J97+J99+J101+J103+J105+J107</f>
        <v>39485.599999999999</v>
      </c>
      <c r="K92" s="270"/>
      <c r="L92" s="270">
        <f>L93+L95+L97+L99+L101+L103+L105+L107</f>
        <v>39485.599999999999</v>
      </c>
    </row>
    <row r="93" spans="1:12" ht="26.4" x14ac:dyDescent="0.25">
      <c r="A93" s="7" t="s">
        <v>248</v>
      </c>
      <c r="B93" s="7"/>
      <c r="C93" s="146" t="s">
        <v>247</v>
      </c>
      <c r="D93" s="271">
        <f>D94</f>
        <v>7208.4</v>
      </c>
      <c r="E93" s="271"/>
      <c r="F93" s="271">
        <f>F94</f>
        <v>7208.4</v>
      </c>
      <c r="G93" s="271">
        <f>G94</f>
        <v>7208.4</v>
      </c>
      <c r="H93" s="345"/>
      <c r="I93" s="271">
        <f>I94</f>
        <v>7208.4</v>
      </c>
      <c r="J93" s="271">
        <f>J94</f>
        <v>7208.4</v>
      </c>
      <c r="K93" s="271"/>
      <c r="L93" s="271">
        <f>L94</f>
        <v>7208.4</v>
      </c>
    </row>
    <row r="94" spans="1:12" ht="26.4" x14ac:dyDescent="0.25">
      <c r="A94" s="7"/>
      <c r="B94" s="7" t="s">
        <v>57</v>
      </c>
      <c r="C94" s="146" t="s">
        <v>56</v>
      </c>
      <c r="D94" s="271">
        <v>7208.4</v>
      </c>
      <c r="E94" s="271"/>
      <c r="F94" s="271">
        <v>7208.4</v>
      </c>
      <c r="G94" s="271">
        <v>7208.4</v>
      </c>
      <c r="H94" s="345"/>
      <c r="I94" s="271">
        <v>7208.4</v>
      </c>
      <c r="J94" s="271">
        <v>7208.4</v>
      </c>
      <c r="K94" s="271"/>
      <c r="L94" s="271">
        <v>7208.4</v>
      </c>
    </row>
    <row r="95" spans="1:12" ht="39.6" x14ac:dyDescent="0.25">
      <c r="A95" s="7" t="s">
        <v>183</v>
      </c>
      <c r="B95" s="7"/>
      <c r="C95" s="146" t="s">
        <v>822</v>
      </c>
      <c r="D95" s="271">
        <f>D96</f>
        <v>1659.5</v>
      </c>
      <c r="E95" s="271"/>
      <c r="F95" s="271">
        <f>F96</f>
        <v>1659.5</v>
      </c>
      <c r="G95" s="271">
        <f>G96</f>
        <v>1659.5</v>
      </c>
      <c r="H95" s="345"/>
      <c r="I95" s="271">
        <f>I96</f>
        <v>1659.5</v>
      </c>
      <c r="J95" s="271">
        <f>J96</f>
        <v>1659.5</v>
      </c>
      <c r="K95" s="271"/>
      <c r="L95" s="271">
        <f>L96</f>
        <v>1659.5</v>
      </c>
    </row>
    <row r="96" spans="1:12" ht="26.4" x14ac:dyDescent="0.25">
      <c r="A96" s="7"/>
      <c r="B96" s="7" t="s">
        <v>57</v>
      </c>
      <c r="C96" s="146" t="s">
        <v>56</v>
      </c>
      <c r="D96" s="271">
        <f>1519.4+140.1</f>
        <v>1659.5</v>
      </c>
      <c r="E96" s="271"/>
      <c r="F96" s="271">
        <f>1519.4+140.1</f>
        <v>1659.5</v>
      </c>
      <c r="G96" s="271">
        <f>1519.4+140.1</f>
        <v>1659.5</v>
      </c>
      <c r="H96" s="345"/>
      <c r="I96" s="271">
        <f>1519.4+140.1</f>
        <v>1659.5</v>
      </c>
      <c r="J96" s="271">
        <f>1519.4+140.1</f>
        <v>1659.5</v>
      </c>
      <c r="K96" s="271"/>
      <c r="L96" s="271">
        <f>1519.4+140.1</f>
        <v>1659.5</v>
      </c>
    </row>
    <row r="97" spans="1:12" ht="39.6" x14ac:dyDescent="0.25">
      <c r="A97" s="7" t="s">
        <v>246</v>
      </c>
      <c r="B97" s="7"/>
      <c r="C97" s="146" t="s">
        <v>245</v>
      </c>
      <c r="D97" s="271">
        <f>D98</f>
        <v>419.8</v>
      </c>
      <c r="E97" s="271"/>
      <c r="F97" s="271">
        <f>F98</f>
        <v>419.8</v>
      </c>
      <c r="G97" s="271">
        <f>G98</f>
        <v>419.8</v>
      </c>
      <c r="H97" s="345"/>
      <c r="I97" s="271">
        <f>I98</f>
        <v>419.8</v>
      </c>
      <c r="J97" s="271">
        <f>J98</f>
        <v>419.8</v>
      </c>
      <c r="K97" s="271"/>
      <c r="L97" s="271">
        <f>L98</f>
        <v>419.8</v>
      </c>
    </row>
    <row r="98" spans="1:12" ht="26.4" x14ac:dyDescent="0.25">
      <c r="A98" s="7"/>
      <c r="B98" s="7" t="s">
        <v>57</v>
      </c>
      <c r="C98" s="146" t="s">
        <v>56</v>
      </c>
      <c r="D98" s="271">
        <v>419.8</v>
      </c>
      <c r="E98" s="271"/>
      <c r="F98" s="271">
        <v>419.8</v>
      </c>
      <c r="G98" s="271">
        <v>419.8</v>
      </c>
      <c r="H98" s="345"/>
      <c r="I98" s="271">
        <v>419.8</v>
      </c>
      <c r="J98" s="271">
        <v>419.8</v>
      </c>
      <c r="K98" s="271"/>
      <c r="L98" s="271">
        <v>419.8</v>
      </c>
    </row>
    <row r="99" spans="1:12" ht="39.6" x14ac:dyDescent="0.25">
      <c r="A99" s="7" t="s">
        <v>244</v>
      </c>
      <c r="B99" s="7"/>
      <c r="C99" s="146" t="s">
        <v>243</v>
      </c>
      <c r="D99" s="271">
        <f>D100</f>
        <v>113.8</v>
      </c>
      <c r="E99" s="271"/>
      <c r="F99" s="271">
        <f>F100</f>
        <v>113.8</v>
      </c>
      <c r="G99" s="271">
        <f>G100</f>
        <v>113.8</v>
      </c>
      <c r="H99" s="345"/>
      <c r="I99" s="271">
        <f>I100</f>
        <v>113.8</v>
      </c>
      <c r="J99" s="271">
        <f>J100</f>
        <v>113.8</v>
      </c>
      <c r="K99" s="271"/>
      <c r="L99" s="271">
        <f>L100</f>
        <v>113.8</v>
      </c>
    </row>
    <row r="100" spans="1:12" ht="26.4" x14ac:dyDescent="0.25">
      <c r="A100" s="7"/>
      <c r="B100" s="7" t="s">
        <v>57</v>
      </c>
      <c r="C100" s="146" t="s">
        <v>56</v>
      </c>
      <c r="D100" s="271">
        <v>113.8</v>
      </c>
      <c r="E100" s="271"/>
      <c r="F100" s="271">
        <v>113.8</v>
      </c>
      <c r="G100" s="271">
        <v>113.8</v>
      </c>
      <c r="H100" s="345"/>
      <c r="I100" s="271">
        <v>113.8</v>
      </c>
      <c r="J100" s="271">
        <v>113.8</v>
      </c>
      <c r="K100" s="271"/>
      <c r="L100" s="271">
        <v>113.8</v>
      </c>
    </row>
    <row r="101" spans="1:12" ht="26.4" x14ac:dyDescent="0.25">
      <c r="A101" s="71" t="s">
        <v>187</v>
      </c>
      <c r="B101" s="7"/>
      <c r="C101" s="146" t="s">
        <v>186</v>
      </c>
      <c r="D101" s="271">
        <f>D102</f>
        <v>3726.4</v>
      </c>
      <c r="E101" s="271"/>
      <c r="F101" s="271">
        <f>F102</f>
        <v>3726.4</v>
      </c>
      <c r="G101" s="271">
        <f>G102</f>
        <v>3953.5</v>
      </c>
      <c r="H101" s="345"/>
      <c r="I101" s="271">
        <f>I102</f>
        <v>3953.5</v>
      </c>
      <c r="J101" s="271">
        <f>J102</f>
        <v>3915.7</v>
      </c>
      <c r="K101" s="271"/>
      <c r="L101" s="271">
        <f>L102</f>
        <v>3915.7</v>
      </c>
    </row>
    <row r="102" spans="1:12" ht="26.4" x14ac:dyDescent="0.25">
      <c r="A102" s="71"/>
      <c r="B102" s="7" t="s">
        <v>57</v>
      </c>
      <c r="C102" s="146" t="s">
        <v>56</v>
      </c>
      <c r="D102" s="271">
        <v>3726.4</v>
      </c>
      <c r="E102" s="271"/>
      <c r="F102" s="271">
        <v>3726.4</v>
      </c>
      <c r="G102" s="271">
        <v>3953.5</v>
      </c>
      <c r="H102" s="345"/>
      <c r="I102" s="271">
        <v>3953.5</v>
      </c>
      <c r="J102" s="271">
        <v>3915.7</v>
      </c>
      <c r="K102" s="271"/>
      <c r="L102" s="271">
        <v>3915.7</v>
      </c>
    </row>
    <row r="103" spans="1:12" ht="26.4" x14ac:dyDescent="0.25">
      <c r="A103" s="71" t="s">
        <v>185</v>
      </c>
      <c r="B103" s="7"/>
      <c r="C103" s="146" t="s">
        <v>184</v>
      </c>
      <c r="D103" s="271">
        <f>D104</f>
        <v>4104.8</v>
      </c>
      <c r="E103" s="271"/>
      <c r="F103" s="271">
        <f>F104</f>
        <v>4104.8</v>
      </c>
      <c r="G103" s="271">
        <f>G104</f>
        <v>4142.7</v>
      </c>
      <c r="H103" s="345"/>
      <c r="I103" s="271">
        <f>I104</f>
        <v>4142.7</v>
      </c>
      <c r="J103" s="271">
        <f>J104</f>
        <v>4010.3</v>
      </c>
      <c r="K103" s="271"/>
      <c r="L103" s="271">
        <f>L104</f>
        <v>4010.3</v>
      </c>
    </row>
    <row r="104" spans="1:12" ht="26.4" x14ac:dyDescent="0.25">
      <c r="A104" s="71"/>
      <c r="B104" s="7" t="s">
        <v>57</v>
      </c>
      <c r="C104" s="146" t="s">
        <v>56</v>
      </c>
      <c r="D104" s="271">
        <v>4104.8</v>
      </c>
      <c r="E104" s="271"/>
      <c r="F104" s="271">
        <v>4104.8</v>
      </c>
      <c r="G104" s="271">
        <v>4142.7</v>
      </c>
      <c r="H104" s="345"/>
      <c r="I104" s="271">
        <v>4142.7</v>
      </c>
      <c r="J104" s="271">
        <v>4010.3</v>
      </c>
      <c r="K104" s="271"/>
      <c r="L104" s="271">
        <v>4010.3</v>
      </c>
    </row>
    <row r="105" spans="1:12" ht="52.8" x14ac:dyDescent="0.25">
      <c r="A105" s="7" t="s">
        <v>811</v>
      </c>
      <c r="B105" s="7"/>
      <c r="C105" s="146" t="s">
        <v>242</v>
      </c>
      <c r="D105" s="271">
        <f>D106</f>
        <v>11589.1</v>
      </c>
      <c r="E105" s="271"/>
      <c r="F105" s="271">
        <f>F106</f>
        <v>11589.1</v>
      </c>
      <c r="G105" s="271">
        <f>G106</f>
        <v>11589.1</v>
      </c>
      <c r="H105" s="345"/>
      <c r="I105" s="271">
        <f>I106</f>
        <v>11589.1</v>
      </c>
      <c r="J105" s="271">
        <f>J106</f>
        <v>11589.1</v>
      </c>
      <c r="K105" s="271"/>
      <c r="L105" s="271">
        <f>L106</f>
        <v>11589.1</v>
      </c>
    </row>
    <row r="106" spans="1:12" ht="26.4" x14ac:dyDescent="0.25">
      <c r="A106" s="7"/>
      <c r="B106" s="7" t="s">
        <v>57</v>
      </c>
      <c r="C106" s="146" t="s">
        <v>56</v>
      </c>
      <c r="D106" s="271">
        <v>11589.1</v>
      </c>
      <c r="E106" s="271"/>
      <c r="F106" s="271">
        <v>11589.1</v>
      </c>
      <c r="G106" s="271">
        <v>11589.1</v>
      </c>
      <c r="H106" s="345"/>
      <c r="I106" s="271">
        <v>11589.1</v>
      </c>
      <c r="J106" s="271">
        <v>11589.1</v>
      </c>
      <c r="K106" s="271"/>
      <c r="L106" s="271">
        <v>11589.1</v>
      </c>
    </row>
    <row r="107" spans="1:12" ht="52.8" x14ac:dyDescent="0.25">
      <c r="A107" s="7" t="s">
        <v>241</v>
      </c>
      <c r="B107" s="7"/>
      <c r="C107" s="146" t="s">
        <v>240</v>
      </c>
      <c r="D107" s="271">
        <f>D108</f>
        <v>11596.8</v>
      </c>
      <c r="E107" s="271"/>
      <c r="F107" s="271">
        <f>F108</f>
        <v>11596.8</v>
      </c>
      <c r="G107" s="271">
        <f>G108</f>
        <v>11213.5</v>
      </c>
      <c r="H107" s="345"/>
      <c r="I107" s="271">
        <f>I108</f>
        <v>11213.5</v>
      </c>
      <c r="J107" s="271">
        <f>J108</f>
        <v>10569</v>
      </c>
      <c r="K107" s="271"/>
      <c r="L107" s="271">
        <f>L108</f>
        <v>10569</v>
      </c>
    </row>
    <row r="108" spans="1:12" ht="26.4" x14ac:dyDescent="0.25">
      <c r="A108" s="7"/>
      <c r="B108" s="7" t="s">
        <v>57</v>
      </c>
      <c r="C108" s="146" t="s">
        <v>56</v>
      </c>
      <c r="D108" s="271">
        <v>11596.8</v>
      </c>
      <c r="E108" s="271"/>
      <c r="F108" s="271">
        <v>11596.8</v>
      </c>
      <c r="G108" s="271">
        <v>11213.5</v>
      </c>
      <c r="H108" s="345"/>
      <c r="I108" s="271">
        <v>11213.5</v>
      </c>
      <c r="J108" s="271">
        <v>10569</v>
      </c>
      <c r="K108" s="271"/>
      <c r="L108" s="271">
        <v>10569</v>
      </c>
    </row>
    <row r="109" spans="1:12" s="147" customFormat="1" ht="52.8" x14ac:dyDescent="0.25">
      <c r="A109" s="223" t="s">
        <v>305</v>
      </c>
      <c r="B109" s="223"/>
      <c r="C109" s="235" t="s">
        <v>304</v>
      </c>
      <c r="D109" s="270">
        <f t="shared" ref="D109:L110" si="13">D110</f>
        <v>8191.33</v>
      </c>
      <c r="E109" s="270"/>
      <c r="F109" s="270">
        <f t="shared" si="13"/>
        <v>8191.33</v>
      </c>
      <c r="G109" s="270">
        <f t="shared" si="13"/>
        <v>0</v>
      </c>
      <c r="H109" s="350"/>
      <c r="I109" s="270">
        <f t="shared" si="13"/>
        <v>0</v>
      </c>
      <c r="J109" s="270">
        <f t="shared" si="13"/>
        <v>0</v>
      </c>
      <c r="K109" s="270"/>
      <c r="L109" s="270">
        <f t="shared" si="13"/>
        <v>0</v>
      </c>
    </row>
    <row r="110" spans="1:12" ht="39.6" x14ac:dyDescent="0.25">
      <c r="A110" s="7" t="s">
        <v>303</v>
      </c>
      <c r="B110" s="7"/>
      <c r="C110" s="321" t="s">
        <v>302</v>
      </c>
      <c r="D110" s="271">
        <f t="shared" si="13"/>
        <v>8191.33</v>
      </c>
      <c r="E110" s="271"/>
      <c r="F110" s="271">
        <f t="shared" si="13"/>
        <v>8191.33</v>
      </c>
      <c r="G110" s="271">
        <f t="shared" si="13"/>
        <v>0</v>
      </c>
      <c r="H110" s="345"/>
      <c r="I110" s="271">
        <f t="shared" si="13"/>
        <v>0</v>
      </c>
      <c r="J110" s="271">
        <f t="shared" si="13"/>
        <v>0</v>
      </c>
      <c r="K110" s="271"/>
      <c r="L110" s="271">
        <f t="shared" si="13"/>
        <v>0</v>
      </c>
    </row>
    <row r="111" spans="1:12" ht="39.6" x14ac:dyDescent="0.25">
      <c r="A111" s="7"/>
      <c r="B111" s="7" t="s">
        <v>276</v>
      </c>
      <c r="C111" s="6" t="s">
        <v>275</v>
      </c>
      <c r="D111" s="271">
        <v>8191.33</v>
      </c>
      <c r="E111" s="271"/>
      <c r="F111" s="271">
        <v>8191.33</v>
      </c>
      <c r="G111" s="271">
        <v>0</v>
      </c>
      <c r="H111" s="345"/>
      <c r="I111" s="271">
        <v>0</v>
      </c>
      <c r="J111" s="271">
        <v>0</v>
      </c>
      <c r="K111" s="271"/>
      <c r="L111" s="271">
        <v>0</v>
      </c>
    </row>
    <row r="112" spans="1:12" ht="52.8" x14ac:dyDescent="0.25">
      <c r="A112" s="233" t="s">
        <v>237</v>
      </c>
      <c r="B112" s="228"/>
      <c r="C112" s="235" t="s">
        <v>643</v>
      </c>
      <c r="D112" s="270">
        <f t="shared" ref="D112:L116" si="14">D113</f>
        <v>428.48340000000002</v>
      </c>
      <c r="E112" s="270">
        <f t="shared" si="14"/>
        <v>-428.48340000000002</v>
      </c>
      <c r="F112" s="270">
        <f t="shared" si="14"/>
        <v>0</v>
      </c>
      <c r="G112" s="270">
        <f t="shared" si="14"/>
        <v>518.0498</v>
      </c>
      <c r="H112" s="270">
        <f t="shared" si="14"/>
        <v>-518.0498</v>
      </c>
      <c r="I112" s="270">
        <f t="shared" si="14"/>
        <v>0</v>
      </c>
      <c r="J112" s="270">
        <f t="shared" si="14"/>
        <v>518.0498</v>
      </c>
      <c r="K112" s="270">
        <f t="shared" si="14"/>
        <v>-518.0498</v>
      </c>
      <c r="L112" s="270">
        <f t="shared" si="14"/>
        <v>0</v>
      </c>
    </row>
    <row r="113" spans="1:12" ht="52.8" x14ac:dyDescent="0.25">
      <c r="A113" s="7" t="s">
        <v>813</v>
      </c>
      <c r="B113" s="7"/>
      <c r="C113" s="431" t="s">
        <v>234</v>
      </c>
      <c r="D113" s="271">
        <f t="shared" si="14"/>
        <v>428.48340000000002</v>
      </c>
      <c r="E113" s="271">
        <f t="shared" si="14"/>
        <v>-428.48340000000002</v>
      </c>
      <c r="F113" s="271">
        <f t="shared" si="14"/>
        <v>0</v>
      </c>
      <c r="G113" s="271">
        <f t="shared" si="14"/>
        <v>518.0498</v>
      </c>
      <c r="H113" s="271">
        <f t="shared" si="14"/>
        <v>-518.0498</v>
      </c>
      <c r="I113" s="271">
        <f t="shared" si="14"/>
        <v>0</v>
      </c>
      <c r="J113" s="271">
        <f t="shared" si="14"/>
        <v>518.0498</v>
      </c>
      <c r="K113" s="271">
        <f t="shared" si="14"/>
        <v>-518.0498</v>
      </c>
      <c r="L113" s="271">
        <f t="shared" si="14"/>
        <v>0</v>
      </c>
    </row>
    <row r="114" spans="1:12" ht="26.4" x14ac:dyDescent="0.25">
      <c r="A114" s="7"/>
      <c r="B114" s="7" t="s">
        <v>57</v>
      </c>
      <c r="C114" s="146" t="s">
        <v>56</v>
      </c>
      <c r="D114" s="271">
        <v>428.48340000000002</v>
      </c>
      <c r="E114" s="271">
        <v>-428.48340000000002</v>
      </c>
      <c r="F114" s="271">
        <v>0</v>
      </c>
      <c r="G114" s="271">
        <v>518.0498</v>
      </c>
      <c r="H114" s="271">
        <v>-518.0498</v>
      </c>
      <c r="I114" s="271">
        <v>0</v>
      </c>
      <c r="J114" s="271">
        <v>518.0498</v>
      </c>
      <c r="K114" s="271">
        <v>-518.0498</v>
      </c>
      <c r="L114" s="271">
        <v>0</v>
      </c>
    </row>
    <row r="115" spans="1:12" ht="26.4" x14ac:dyDescent="0.25">
      <c r="A115" s="413" t="s">
        <v>902</v>
      </c>
      <c r="B115" s="414"/>
      <c r="C115" s="415" t="s">
        <v>903</v>
      </c>
      <c r="D115" s="270">
        <f t="shared" si="14"/>
        <v>0</v>
      </c>
      <c r="E115" s="270">
        <f t="shared" si="14"/>
        <v>428.48340000000002</v>
      </c>
      <c r="F115" s="270">
        <f t="shared" si="14"/>
        <v>428.48340000000002</v>
      </c>
      <c r="G115" s="270">
        <f t="shared" si="14"/>
        <v>0</v>
      </c>
      <c r="H115" s="270">
        <f t="shared" si="14"/>
        <v>518.0498</v>
      </c>
      <c r="I115" s="270">
        <f t="shared" si="14"/>
        <v>518.0498</v>
      </c>
      <c r="J115" s="270">
        <f t="shared" si="14"/>
        <v>0</v>
      </c>
      <c r="K115" s="270">
        <f t="shared" si="14"/>
        <v>518.0498</v>
      </c>
      <c r="L115" s="270">
        <f t="shared" si="14"/>
        <v>518.0498</v>
      </c>
    </row>
    <row r="116" spans="1:12" ht="52.8" x14ac:dyDescent="0.25">
      <c r="A116" s="416" t="s">
        <v>904</v>
      </c>
      <c r="B116" s="416"/>
      <c r="C116" s="432" t="s">
        <v>234</v>
      </c>
      <c r="D116" s="271">
        <f t="shared" si="14"/>
        <v>0</v>
      </c>
      <c r="E116" s="271">
        <f t="shared" si="14"/>
        <v>428.48340000000002</v>
      </c>
      <c r="F116" s="271">
        <f t="shared" si="14"/>
        <v>428.48340000000002</v>
      </c>
      <c r="G116" s="271">
        <f t="shared" si="14"/>
        <v>0</v>
      </c>
      <c r="H116" s="271">
        <f t="shared" si="14"/>
        <v>518.0498</v>
      </c>
      <c r="I116" s="271">
        <f t="shared" si="14"/>
        <v>518.0498</v>
      </c>
      <c r="J116" s="271">
        <f t="shared" si="14"/>
        <v>0</v>
      </c>
      <c r="K116" s="271">
        <f t="shared" si="14"/>
        <v>518.0498</v>
      </c>
      <c r="L116" s="271">
        <f t="shared" si="14"/>
        <v>518.0498</v>
      </c>
    </row>
    <row r="117" spans="1:12" ht="26.4" x14ac:dyDescent="0.25">
      <c r="A117" s="7"/>
      <c r="B117" s="7" t="s">
        <v>57</v>
      </c>
      <c r="C117" s="146" t="s">
        <v>56</v>
      </c>
      <c r="D117" s="271">
        <v>0</v>
      </c>
      <c r="E117" s="271">
        <v>428.48340000000002</v>
      </c>
      <c r="F117" s="271">
        <v>428.48340000000002</v>
      </c>
      <c r="G117" s="271">
        <v>0</v>
      </c>
      <c r="H117" s="271">
        <v>518.0498</v>
      </c>
      <c r="I117" s="271">
        <v>518.0498</v>
      </c>
      <c r="J117" s="271">
        <v>0</v>
      </c>
      <c r="K117" s="271">
        <v>518.0498</v>
      </c>
      <c r="L117" s="271">
        <v>518.0498</v>
      </c>
    </row>
    <row r="118" spans="1:12" ht="26.4" x14ac:dyDescent="0.25">
      <c r="A118" s="31" t="s">
        <v>222</v>
      </c>
      <c r="B118" s="31"/>
      <c r="C118" s="145" t="s">
        <v>221</v>
      </c>
      <c r="D118" s="276">
        <f>D119</f>
        <v>35409.5</v>
      </c>
      <c r="E118" s="276"/>
      <c r="F118" s="276">
        <f>F119</f>
        <v>35409.5</v>
      </c>
      <c r="G118" s="276">
        <f>G119</f>
        <v>35409.5</v>
      </c>
      <c r="H118" s="354"/>
      <c r="I118" s="276">
        <f>I119</f>
        <v>35409.5</v>
      </c>
      <c r="J118" s="276">
        <f>J119</f>
        <v>35409.5</v>
      </c>
      <c r="K118" s="276"/>
      <c r="L118" s="276">
        <f>L119</f>
        <v>35409.5</v>
      </c>
    </row>
    <row r="119" spans="1:12" ht="39.6" x14ac:dyDescent="0.25">
      <c r="A119" s="223" t="s">
        <v>220</v>
      </c>
      <c r="B119" s="231"/>
      <c r="C119" s="235" t="s">
        <v>219</v>
      </c>
      <c r="D119" s="277">
        <f>D120+D122+D124+D126+D128+D130+D132</f>
        <v>35409.5</v>
      </c>
      <c r="E119" s="277"/>
      <c r="F119" s="277">
        <f>F120+F122+F124+F126+F128+F130+F132</f>
        <v>35409.5</v>
      </c>
      <c r="G119" s="277">
        <f>G120+G122+G124+G126+G128+G130+G132</f>
        <v>35409.5</v>
      </c>
      <c r="H119" s="355"/>
      <c r="I119" s="277">
        <f>I120+I122+I124+I126+I128+I130+I132</f>
        <v>35409.5</v>
      </c>
      <c r="J119" s="277">
        <f>J120+J122+J124+J126+J128+J130+J132</f>
        <v>35409.5</v>
      </c>
      <c r="K119" s="277"/>
      <c r="L119" s="277">
        <f>L120+L122+L124+L126+L128+L130+L132</f>
        <v>35409.5</v>
      </c>
    </row>
    <row r="120" spans="1:12" ht="52.8" x14ac:dyDescent="0.25">
      <c r="A120" s="7" t="s">
        <v>226</v>
      </c>
      <c r="B120" s="61"/>
      <c r="C120" s="146" t="s">
        <v>225</v>
      </c>
      <c r="D120" s="271">
        <f>D121</f>
        <v>21343</v>
      </c>
      <c r="E120" s="271"/>
      <c r="F120" s="271">
        <f>F121</f>
        <v>21343</v>
      </c>
      <c r="G120" s="271">
        <f>G121</f>
        <v>21343</v>
      </c>
      <c r="H120" s="345"/>
      <c r="I120" s="271">
        <f>I121</f>
        <v>21343</v>
      </c>
      <c r="J120" s="271">
        <f>J121</f>
        <v>21343</v>
      </c>
      <c r="K120" s="271"/>
      <c r="L120" s="271">
        <f>L121</f>
        <v>21343</v>
      </c>
    </row>
    <row r="121" spans="1:12" ht="26.4" x14ac:dyDescent="0.25">
      <c r="A121" s="7"/>
      <c r="B121" s="7" t="s">
        <v>57</v>
      </c>
      <c r="C121" s="146" t="s">
        <v>56</v>
      </c>
      <c r="D121" s="271">
        <f>22073.1-730.1</f>
        <v>21343</v>
      </c>
      <c r="E121" s="271"/>
      <c r="F121" s="271">
        <f>22073.1-730.1</f>
        <v>21343</v>
      </c>
      <c r="G121" s="271">
        <f>22073.1-730.1</f>
        <v>21343</v>
      </c>
      <c r="H121" s="345"/>
      <c r="I121" s="271">
        <f>22073.1-730.1</f>
        <v>21343</v>
      </c>
      <c r="J121" s="271">
        <f>22073.1-730.1</f>
        <v>21343</v>
      </c>
      <c r="K121" s="271"/>
      <c r="L121" s="271">
        <f>22073.1-730.1</f>
        <v>21343</v>
      </c>
    </row>
    <row r="122" spans="1:12" ht="52.8" x14ac:dyDescent="0.25">
      <c r="A122" s="7" t="s">
        <v>224</v>
      </c>
      <c r="B122" s="61"/>
      <c r="C122" s="146" t="s">
        <v>223</v>
      </c>
      <c r="D122" s="271">
        <f>D123</f>
        <v>13325.4</v>
      </c>
      <c r="E122" s="271"/>
      <c r="F122" s="271">
        <f>F123</f>
        <v>13325.4</v>
      </c>
      <c r="G122" s="271">
        <f>G123</f>
        <v>13325.4</v>
      </c>
      <c r="H122" s="345"/>
      <c r="I122" s="271">
        <f>I123</f>
        <v>13325.4</v>
      </c>
      <c r="J122" s="271">
        <f>J123</f>
        <v>13325.4</v>
      </c>
      <c r="K122" s="271"/>
      <c r="L122" s="271">
        <f>L123</f>
        <v>13325.4</v>
      </c>
    </row>
    <row r="123" spans="1:12" ht="26.4" x14ac:dyDescent="0.25">
      <c r="A123" s="7"/>
      <c r="B123" s="7" t="s">
        <v>57</v>
      </c>
      <c r="C123" s="146" t="s">
        <v>56</v>
      </c>
      <c r="D123" s="271">
        <v>13325.4</v>
      </c>
      <c r="E123" s="271"/>
      <c r="F123" s="271">
        <v>13325.4</v>
      </c>
      <c r="G123" s="271">
        <v>13325.4</v>
      </c>
      <c r="H123" s="345"/>
      <c r="I123" s="271">
        <v>13325.4</v>
      </c>
      <c r="J123" s="271">
        <v>13325.4</v>
      </c>
      <c r="K123" s="271"/>
      <c r="L123" s="271">
        <v>13325.4</v>
      </c>
    </row>
    <row r="124" spans="1:12" ht="26.4" x14ac:dyDescent="0.25">
      <c r="A124" s="7" t="s">
        <v>218</v>
      </c>
      <c r="B124" s="7"/>
      <c r="C124" s="146" t="s">
        <v>217</v>
      </c>
      <c r="D124" s="271">
        <f>D125</f>
        <v>290.5</v>
      </c>
      <c r="E124" s="271"/>
      <c r="F124" s="271">
        <f>F125</f>
        <v>290.5</v>
      </c>
      <c r="G124" s="271">
        <f>G125</f>
        <v>290.5</v>
      </c>
      <c r="H124" s="345"/>
      <c r="I124" s="271">
        <f>I125</f>
        <v>290.5</v>
      </c>
      <c r="J124" s="271">
        <f>J125</f>
        <v>290.5</v>
      </c>
      <c r="K124" s="271"/>
      <c r="L124" s="271">
        <f>L125</f>
        <v>290.5</v>
      </c>
    </row>
    <row r="125" spans="1:12" ht="26.4" x14ac:dyDescent="0.25">
      <c r="A125" s="7"/>
      <c r="B125" s="7" t="s">
        <v>57</v>
      </c>
      <c r="C125" s="146" t="s">
        <v>56</v>
      </c>
      <c r="D125" s="271">
        <v>290.5</v>
      </c>
      <c r="E125" s="271"/>
      <c r="F125" s="271">
        <v>290.5</v>
      </c>
      <c r="G125" s="271">
        <v>290.5</v>
      </c>
      <c r="H125" s="345"/>
      <c r="I125" s="271">
        <v>290.5</v>
      </c>
      <c r="J125" s="271">
        <v>290.5</v>
      </c>
      <c r="K125" s="271"/>
      <c r="L125" s="271">
        <v>290.5</v>
      </c>
    </row>
    <row r="126" spans="1:12" ht="26.4" x14ac:dyDescent="0.25">
      <c r="A126" s="7" t="s">
        <v>216</v>
      </c>
      <c r="B126" s="7"/>
      <c r="C126" s="146" t="s">
        <v>823</v>
      </c>
      <c r="D126" s="271">
        <f>D127</f>
        <v>120.3</v>
      </c>
      <c r="E126" s="271"/>
      <c r="F126" s="271">
        <f>F127</f>
        <v>120.3</v>
      </c>
      <c r="G126" s="271">
        <f>G127</f>
        <v>120.3</v>
      </c>
      <c r="H126" s="345"/>
      <c r="I126" s="271">
        <f>I127</f>
        <v>120.3</v>
      </c>
      <c r="J126" s="271">
        <f>J127</f>
        <v>120.3</v>
      </c>
      <c r="K126" s="271"/>
      <c r="L126" s="271">
        <f>L127</f>
        <v>120.3</v>
      </c>
    </row>
    <row r="127" spans="1:12" ht="26.4" x14ac:dyDescent="0.25">
      <c r="A127" s="7"/>
      <c r="B127" s="7" t="s">
        <v>57</v>
      </c>
      <c r="C127" s="146" t="s">
        <v>56</v>
      </c>
      <c r="D127" s="271">
        <v>120.3</v>
      </c>
      <c r="E127" s="271"/>
      <c r="F127" s="271">
        <v>120.3</v>
      </c>
      <c r="G127" s="271">
        <v>120.3</v>
      </c>
      <c r="H127" s="345"/>
      <c r="I127" s="271">
        <v>120.3</v>
      </c>
      <c r="J127" s="271">
        <v>120.3</v>
      </c>
      <c r="K127" s="271"/>
      <c r="L127" s="271">
        <v>120.3</v>
      </c>
    </row>
    <row r="128" spans="1:12" ht="26.4" x14ac:dyDescent="0.25">
      <c r="A128" s="7" t="s">
        <v>214</v>
      </c>
      <c r="B128" s="7"/>
      <c r="C128" s="146" t="s">
        <v>213</v>
      </c>
      <c r="D128" s="271">
        <f>D129</f>
        <v>70.2</v>
      </c>
      <c r="E128" s="271"/>
      <c r="F128" s="271">
        <f>F129</f>
        <v>70.2</v>
      </c>
      <c r="G128" s="271">
        <f>G129</f>
        <v>70.2</v>
      </c>
      <c r="H128" s="345"/>
      <c r="I128" s="271">
        <f>I129</f>
        <v>70.2</v>
      </c>
      <c r="J128" s="271">
        <f>J129</f>
        <v>70.2</v>
      </c>
      <c r="K128" s="271"/>
      <c r="L128" s="271">
        <f>L129</f>
        <v>70.2</v>
      </c>
    </row>
    <row r="129" spans="1:12" ht="26.4" x14ac:dyDescent="0.25">
      <c r="A129" s="7"/>
      <c r="B129" s="7" t="s">
        <v>57</v>
      </c>
      <c r="C129" s="146" t="s">
        <v>56</v>
      </c>
      <c r="D129" s="271">
        <v>70.2</v>
      </c>
      <c r="E129" s="271"/>
      <c r="F129" s="271">
        <v>70.2</v>
      </c>
      <c r="G129" s="271">
        <v>70.2</v>
      </c>
      <c r="H129" s="345"/>
      <c r="I129" s="271">
        <v>70.2</v>
      </c>
      <c r="J129" s="271">
        <v>70.2</v>
      </c>
      <c r="K129" s="271"/>
      <c r="L129" s="271">
        <v>70.2</v>
      </c>
    </row>
    <row r="130" spans="1:12" ht="52.8" x14ac:dyDescent="0.25">
      <c r="A130" s="7" t="s">
        <v>212</v>
      </c>
      <c r="B130" s="7"/>
      <c r="C130" s="146" t="s">
        <v>211</v>
      </c>
      <c r="D130" s="271">
        <f>D131</f>
        <v>85.9</v>
      </c>
      <c r="E130" s="271"/>
      <c r="F130" s="271">
        <f>F131</f>
        <v>85.9</v>
      </c>
      <c r="G130" s="271">
        <f>G131</f>
        <v>85.9</v>
      </c>
      <c r="H130" s="345"/>
      <c r="I130" s="271">
        <f>I131</f>
        <v>85.9</v>
      </c>
      <c r="J130" s="271">
        <f>J131</f>
        <v>85.9</v>
      </c>
      <c r="K130" s="271"/>
      <c r="L130" s="271">
        <f>L131</f>
        <v>85.9</v>
      </c>
    </row>
    <row r="131" spans="1:12" ht="26.4" x14ac:dyDescent="0.25">
      <c r="A131" s="7"/>
      <c r="B131" s="7" t="s">
        <v>57</v>
      </c>
      <c r="C131" s="146" t="s">
        <v>56</v>
      </c>
      <c r="D131" s="271">
        <v>85.9</v>
      </c>
      <c r="E131" s="271"/>
      <c r="F131" s="271">
        <v>85.9</v>
      </c>
      <c r="G131" s="271">
        <v>85.9</v>
      </c>
      <c r="H131" s="345"/>
      <c r="I131" s="271">
        <v>85.9</v>
      </c>
      <c r="J131" s="271">
        <v>85.9</v>
      </c>
      <c r="K131" s="271"/>
      <c r="L131" s="271">
        <v>85.9</v>
      </c>
    </row>
    <row r="132" spans="1:12" ht="26.4" x14ac:dyDescent="0.25">
      <c r="A132" s="7" t="s">
        <v>210</v>
      </c>
      <c r="B132" s="7"/>
      <c r="C132" s="146" t="s">
        <v>209</v>
      </c>
      <c r="D132" s="271">
        <f>D133</f>
        <v>174.2</v>
      </c>
      <c r="E132" s="271"/>
      <c r="F132" s="271">
        <f>F133</f>
        <v>174.2</v>
      </c>
      <c r="G132" s="271">
        <f>G133</f>
        <v>174.2</v>
      </c>
      <c r="H132" s="345"/>
      <c r="I132" s="271">
        <f>I133</f>
        <v>174.2</v>
      </c>
      <c r="J132" s="271">
        <f>J133</f>
        <v>174.2</v>
      </c>
      <c r="K132" s="271"/>
      <c r="L132" s="271">
        <f>L133</f>
        <v>174.2</v>
      </c>
    </row>
    <row r="133" spans="1:12" ht="26.4" x14ac:dyDescent="0.25">
      <c r="A133" s="7"/>
      <c r="B133" s="7" t="s">
        <v>57</v>
      </c>
      <c r="C133" s="146" t="s">
        <v>56</v>
      </c>
      <c r="D133" s="271">
        <v>174.2</v>
      </c>
      <c r="E133" s="271"/>
      <c r="F133" s="271">
        <v>174.2</v>
      </c>
      <c r="G133" s="271">
        <v>174.2</v>
      </c>
      <c r="H133" s="345"/>
      <c r="I133" s="271">
        <v>174.2</v>
      </c>
      <c r="J133" s="271">
        <v>174.2</v>
      </c>
      <c r="K133" s="271"/>
      <c r="L133" s="271">
        <v>174.2</v>
      </c>
    </row>
    <row r="134" spans="1:12" ht="26.4" x14ac:dyDescent="0.25">
      <c r="A134" s="31" t="s">
        <v>142</v>
      </c>
      <c r="B134" s="31"/>
      <c r="C134" s="145" t="s">
        <v>141</v>
      </c>
      <c r="D134" s="276">
        <f>D135</f>
        <v>6424.7000000000007</v>
      </c>
      <c r="E134" s="276"/>
      <c r="F134" s="276">
        <f>F135</f>
        <v>6424.7000000000007</v>
      </c>
      <c r="G134" s="276">
        <f>G135</f>
        <v>6424.7000000000007</v>
      </c>
      <c r="H134" s="354"/>
      <c r="I134" s="276">
        <f>I135</f>
        <v>6424.7000000000007</v>
      </c>
      <c r="J134" s="276">
        <f>J135</f>
        <v>6424.7000000000007</v>
      </c>
      <c r="K134" s="276"/>
      <c r="L134" s="276">
        <f>L135</f>
        <v>6424.7000000000007</v>
      </c>
    </row>
    <row r="135" spans="1:12" ht="39.6" x14ac:dyDescent="0.25">
      <c r="A135" s="223" t="s">
        <v>140</v>
      </c>
      <c r="B135" s="223"/>
      <c r="C135" s="235" t="s">
        <v>139</v>
      </c>
      <c r="D135" s="277">
        <f>D136+D138+D140</f>
        <v>6424.7000000000007</v>
      </c>
      <c r="E135" s="277"/>
      <c r="F135" s="277">
        <f>F136+F138+F140</f>
        <v>6424.7000000000007</v>
      </c>
      <c r="G135" s="277">
        <f>G136+G138+G140</f>
        <v>6424.7000000000007</v>
      </c>
      <c r="H135" s="355"/>
      <c r="I135" s="277">
        <f>I136+I138+I140</f>
        <v>6424.7000000000007</v>
      </c>
      <c r="J135" s="277">
        <f>J136+J138+J140</f>
        <v>6424.7000000000007</v>
      </c>
      <c r="K135" s="277"/>
      <c r="L135" s="277">
        <f>L136+L138+L140</f>
        <v>6424.7000000000007</v>
      </c>
    </row>
    <row r="136" spans="1:12" ht="26.4" x14ac:dyDescent="0.25">
      <c r="A136" s="7" t="s">
        <v>208</v>
      </c>
      <c r="B136" s="7"/>
      <c r="C136" s="146" t="s">
        <v>824</v>
      </c>
      <c r="D136" s="271">
        <f>D137</f>
        <v>115.7</v>
      </c>
      <c r="E136" s="271"/>
      <c r="F136" s="271">
        <f>F137</f>
        <v>115.7</v>
      </c>
      <c r="G136" s="271">
        <f>G137</f>
        <v>115.7</v>
      </c>
      <c r="H136" s="345"/>
      <c r="I136" s="271">
        <f>I137</f>
        <v>115.7</v>
      </c>
      <c r="J136" s="271">
        <f>J137</f>
        <v>115.7</v>
      </c>
      <c r="K136" s="271"/>
      <c r="L136" s="271">
        <f>L137</f>
        <v>115.7</v>
      </c>
    </row>
    <row r="137" spans="1:12" ht="26.4" x14ac:dyDescent="0.25">
      <c r="A137" s="7"/>
      <c r="B137" s="7" t="s">
        <v>57</v>
      </c>
      <c r="C137" s="146" t="s">
        <v>56</v>
      </c>
      <c r="D137" s="271">
        <v>115.7</v>
      </c>
      <c r="E137" s="271"/>
      <c r="F137" s="271">
        <v>115.7</v>
      </c>
      <c r="G137" s="271">
        <v>115.7</v>
      </c>
      <c r="H137" s="345"/>
      <c r="I137" s="271">
        <v>115.7</v>
      </c>
      <c r="J137" s="271">
        <v>115.7</v>
      </c>
      <c r="K137" s="271"/>
      <c r="L137" s="271">
        <v>115.7</v>
      </c>
    </row>
    <row r="138" spans="1:12" ht="39.6" x14ac:dyDescent="0.25">
      <c r="A138" s="7" t="s">
        <v>138</v>
      </c>
      <c r="B138" s="7"/>
      <c r="C138" s="146" t="s">
        <v>137</v>
      </c>
      <c r="D138" s="271">
        <f>D139</f>
        <v>1702.9</v>
      </c>
      <c r="E138" s="271"/>
      <c r="F138" s="271">
        <f>F139</f>
        <v>1702.9</v>
      </c>
      <c r="G138" s="271">
        <f>G139</f>
        <v>1702.9</v>
      </c>
      <c r="H138" s="345"/>
      <c r="I138" s="271">
        <f>I139</f>
        <v>1702.9</v>
      </c>
      <c r="J138" s="271">
        <f>J139</f>
        <v>1702.9</v>
      </c>
      <c r="K138" s="271"/>
      <c r="L138" s="271">
        <f>L139</f>
        <v>1702.9</v>
      </c>
    </row>
    <row r="139" spans="1:12" ht="26.4" x14ac:dyDescent="0.25">
      <c r="A139" s="7"/>
      <c r="B139" s="7" t="s">
        <v>57</v>
      </c>
      <c r="C139" s="146" t="s">
        <v>56</v>
      </c>
      <c r="D139" s="271">
        <v>1702.9</v>
      </c>
      <c r="E139" s="271"/>
      <c r="F139" s="271">
        <v>1702.9</v>
      </c>
      <c r="G139" s="271">
        <v>1702.9</v>
      </c>
      <c r="H139" s="345"/>
      <c r="I139" s="271">
        <v>1702.9</v>
      </c>
      <c r="J139" s="271">
        <v>1702.9</v>
      </c>
      <c r="K139" s="271"/>
      <c r="L139" s="271">
        <v>1702.9</v>
      </c>
    </row>
    <row r="140" spans="1:12" ht="52.8" x14ac:dyDescent="0.25">
      <c r="A140" s="7" t="s">
        <v>207</v>
      </c>
      <c r="B140" s="7"/>
      <c r="C140" s="322" t="s">
        <v>206</v>
      </c>
      <c r="D140" s="271">
        <f>D141+D142+D143</f>
        <v>4606.1000000000004</v>
      </c>
      <c r="E140" s="271"/>
      <c r="F140" s="271">
        <f>F141+F142+F143</f>
        <v>4606.1000000000004</v>
      </c>
      <c r="G140" s="271">
        <f>G141+G142+G143</f>
        <v>4606.1000000000004</v>
      </c>
      <c r="H140" s="345"/>
      <c r="I140" s="271">
        <f>I141+I142+I143</f>
        <v>4606.1000000000004</v>
      </c>
      <c r="J140" s="271">
        <f>J141+J142+J143</f>
        <v>4606.1000000000004</v>
      </c>
      <c r="K140" s="271"/>
      <c r="L140" s="271">
        <f>L141+L142+L143</f>
        <v>4606.1000000000004</v>
      </c>
    </row>
    <row r="141" spans="1:12" x14ac:dyDescent="0.25">
      <c r="A141" s="7"/>
      <c r="B141" s="7" t="s">
        <v>79</v>
      </c>
      <c r="C141" s="146" t="s">
        <v>78</v>
      </c>
      <c r="D141" s="271">
        <v>0</v>
      </c>
      <c r="E141" s="271"/>
      <c r="F141" s="271">
        <v>0</v>
      </c>
      <c r="G141" s="271">
        <v>0</v>
      </c>
      <c r="H141" s="345"/>
      <c r="I141" s="271">
        <v>0</v>
      </c>
      <c r="J141" s="271">
        <v>0</v>
      </c>
      <c r="K141" s="271"/>
      <c r="L141" s="271">
        <v>0</v>
      </c>
    </row>
    <row r="142" spans="1:12" ht="26.4" x14ac:dyDescent="0.25">
      <c r="A142" s="7"/>
      <c r="B142" s="7" t="s">
        <v>57</v>
      </c>
      <c r="C142" s="146" t="s">
        <v>56</v>
      </c>
      <c r="D142" s="271">
        <v>4606.1000000000004</v>
      </c>
      <c r="E142" s="271"/>
      <c r="F142" s="271">
        <v>4606.1000000000004</v>
      </c>
      <c r="G142" s="271">
        <v>4606.1000000000004</v>
      </c>
      <c r="H142" s="345"/>
      <c r="I142" s="271">
        <v>4606.1000000000004</v>
      </c>
      <c r="J142" s="271">
        <v>4606.1000000000004</v>
      </c>
      <c r="K142" s="271"/>
      <c r="L142" s="271">
        <v>4606.1000000000004</v>
      </c>
    </row>
    <row r="143" spans="1:12" x14ac:dyDescent="0.25">
      <c r="A143" s="7"/>
      <c r="B143" s="7" t="s">
        <v>22</v>
      </c>
      <c r="C143" s="146" t="s">
        <v>21</v>
      </c>
      <c r="D143" s="272">
        <v>0</v>
      </c>
      <c r="E143" s="272"/>
      <c r="F143" s="272">
        <v>0</v>
      </c>
      <c r="G143" s="272">
        <v>0</v>
      </c>
      <c r="H143" s="351"/>
      <c r="I143" s="272">
        <v>0</v>
      </c>
      <c r="J143" s="272">
        <v>0</v>
      </c>
      <c r="K143" s="272"/>
      <c r="L143" s="272">
        <v>0</v>
      </c>
    </row>
    <row r="144" spans="1:12" x14ac:dyDescent="0.25">
      <c r="A144" s="31" t="s">
        <v>85</v>
      </c>
      <c r="B144" s="31"/>
      <c r="C144" s="145" t="s">
        <v>84</v>
      </c>
      <c r="D144" s="276">
        <f>D145+D150</f>
        <v>22040.151800000003</v>
      </c>
      <c r="E144" s="276"/>
      <c r="F144" s="276">
        <f>F145+F150</f>
        <v>22040.151800000003</v>
      </c>
      <c r="G144" s="276">
        <f>G145+G150</f>
        <v>22194.144900000003</v>
      </c>
      <c r="H144" s="354"/>
      <c r="I144" s="276">
        <f>I145+I150</f>
        <v>22194.144900000003</v>
      </c>
      <c r="J144" s="276">
        <f>J145+J150</f>
        <v>22272.5694</v>
      </c>
      <c r="K144" s="276"/>
      <c r="L144" s="276">
        <f>L145+L150</f>
        <v>22272.5694</v>
      </c>
    </row>
    <row r="145" spans="1:12" ht="39.6" x14ac:dyDescent="0.25">
      <c r="A145" s="223" t="s">
        <v>205</v>
      </c>
      <c r="B145" s="223"/>
      <c r="C145" s="235" t="s">
        <v>204</v>
      </c>
      <c r="D145" s="277">
        <f>D146+D148</f>
        <v>278.2</v>
      </c>
      <c r="E145" s="277"/>
      <c r="F145" s="277">
        <f>F146+F148</f>
        <v>278.2</v>
      </c>
      <c r="G145" s="277">
        <f>G146+G148</f>
        <v>278.2</v>
      </c>
      <c r="H145" s="355"/>
      <c r="I145" s="277">
        <f>I146+I148</f>
        <v>278.2</v>
      </c>
      <c r="J145" s="277">
        <f>J146+J148</f>
        <v>278.2</v>
      </c>
      <c r="K145" s="277"/>
      <c r="L145" s="277">
        <f>L146+L148</f>
        <v>278.2</v>
      </c>
    </row>
    <row r="146" spans="1:12" ht="26.4" x14ac:dyDescent="0.25">
      <c r="A146" s="73" t="s">
        <v>203</v>
      </c>
      <c r="B146" s="73"/>
      <c r="C146" s="72" t="s">
        <v>202</v>
      </c>
      <c r="D146" s="271">
        <f>D147</f>
        <v>175</v>
      </c>
      <c r="E146" s="271"/>
      <c r="F146" s="271">
        <f>F147</f>
        <v>175</v>
      </c>
      <c r="G146" s="271">
        <f>G147</f>
        <v>175</v>
      </c>
      <c r="H146" s="345"/>
      <c r="I146" s="271">
        <f>I147</f>
        <v>175</v>
      </c>
      <c r="J146" s="271">
        <f>J147</f>
        <v>175</v>
      </c>
      <c r="K146" s="271"/>
      <c r="L146" s="271">
        <f>L147</f>
        <v>175</v>
      </c>
    </row>
    <row r="147" spans="1:12" ht="26.4" x14ac:dyDescent="0.25">
      <c r="A147" s="73"/>
      <c r="B147" s="73" t="s">
        <v>57</v>
      </c>
      <c r="C147" s="72" t="s">
        <v>56</v>
      </c>
      <c r="D147" s="271">
        <v>175</v>
      </c>
      <c r="E147" s="271"/>
      <c r="F147" s="271">
        <v>175</v>
      </c>
      <c r="G147" s="271">
        <v>175</v>
      </c>
      <c r="H147" s="345"/>
      <c r="I147" s="271">
        <v>175</v>
      </c>
      <c r="J147" s="271">
        <v>175</v>
      </c>
      <c r="K147" s="271"/>
      <c r="L147" s="271">
        <v>175</v>
      </c>
    </row>
    <row r="148" spans="1:12" ht="39.6" x14ac:dyDescent="0.25">
      <c r="A148" s="7" t="s">
        <v>201</v>
      </c>
      <c r="B148" s="7"/>
      <c r="C148" s="146" t="s">
        <v>200</v>
      </c>
      <c r="D148" s="271">
        <f>D149</f>
        <v>103.2</v>
      </c>
      <c r="E148" s="271"/>
      <c r="F148" s="271">
        <f>F149</f>
        <v>103.2</v>
      </c>
      <c r="G148" s="271">
        <f>G149</f>
        <v>103.2</v>
      </c>
      <c r="H148" s="345"/>
      <c r="I148" s="271">
        <f>I149</f>
        <v>103.2</v>
      </c>
      <c r="J148" s="271">
        <f>J149</f>
        <v>103.2</v>
      </c>
      <c r="K148" s="271"/>
      <c r="L148" s="271">
        <f>L149</f>
        <v>103.2</v>
      </c>
    </row>
    <row r="149" spans="1:12" ht="26.4" x14ac:dyDescent="0.25">
      <c r="A149" s="7"/>
      <c r="B149" s="73" t="s">
        <v>57</v>
      </c>
      <c r="C149" s="72" t="s">
        <v>56</v>
      </c>
      <c r="D149" s="271">
        <v>103.2</v>
      </c>
      <c r="E149" s="271"/>
      <c r="F149" s="271">
        <v>103.2</v>
      </c>
      <c r="G149" s="271">
        <v>103.2</v>
      </c>
      <c r="H149" s="345"/>
      <c r="I149" s="271">
        <v>103.2</v>
      </c>
      <c r="J149" s="271">
        <v>103.2</v>
      </c>
      <c r="K149" s="271"/>
      <c r="L149" s="271">
        <v>103.2</v>
      </c>
    </row>
    <row r="150" spans="1:12" ht="39.6" x14ac:dyDescent="0.25">
      <c r="A150" s="223" t="s">
        <v>83</v>
      </c>
      <c r="B150" s="223"/>
      <c r="C150" s="235" t="s">
        <v>82</v>
      </c>
      <c r="D150" s="277">
        <f>D151+D154</f>
        <v>21761.951800000003</v>
      </c>
      <c r="E150" s="277"/>
      <c r="F150" s="277">
        <f>F151+F154</f>
        <v>21761.951800000003</v>
      </c>
      <c r="G150" s="277">
        <f>G151+G154</f>
        <v>21915.944900000002</v>
      </c>
      <c r="H150" s="355"/>
      <c r="I150" s="277">
        <f>I151+I154</f>
        <v>21915.944900000002</v>
      </c>
      <c r="J150" s="277">
        <f>J151+J154</f>
        <v>21994.3694</v>
      </c>
      <c r="K150" s="277"/>
      <c r="L150" s="277">
        <f>L151+L154</f>
        <v>21994.3694</v>
      </c>
    </row>
    <row r="151" spans="1:12" ht="39.6" x14ac:dyDescent="0.25">
      <c r="A151" s="7" t="s">
        <v>182</v>
      </c>
      <c r="B151" s="7"/>
      <c r="C151" s="146" t="s">
        <v>181</v>
      </c>
      <c r="D151" s="271">
        <f>D152+D153</f>
        <v>6801.1808000000001</v>
      </c>
      <c r="E151" s="271"/>
      <c r="F151" s="271">
        <f>F152+F153</f>
        <v>6801.1808000000001</v>
      </c>
      <c r="G151" s="271">
        <f>G152+G153</f>
        <v>6955.1738999999998</v>
      </c>
      <c r="H151" s="345"/>
      <c r="I151" s="271">
        <f>I152+I153</f>
        <v>6955.1738999999998</v>
      </c>
      <c r="J151" s="271">
        <f>J152+J153</f>
        <v>7033.5983999999999</v>
      </c>
      <c r="K151" s="271"/>
      <c r="L151" s="271">
        <f>L152+L153</f>
        <v>7033.5983999999999</v>
      </c>
    </row>
    <row r="152" spans="1:12" x14ac:dyDescent="0.25">
      <c r="A152" s="7"/>
      <c r="B152" s="7" t="s">
        <v>79</v>
      </c>
      <c r="C152" s="146" t="s">
        <v>78</v>
      </c>
      <c r="D152" s="271">
        <v>0</v>
      </c>
      <c r="E152" s="271"/>
      <c r="F152" s="271">
        <v>0</v>
      </c>
      <c r="G152" s="271">
        <v>0</v>
      </c>
      <c r="H152" s="345"/>
      <c r="I152" s="271">
        <v>0</v>
      </c>
      <c r="J152" s="271">
        <v>0</v>
      </c>
      <c r="K152" s="271"/>
      <c r="L152" s="271">
        <v>0</v>
      </c>
    </row>
    <row r="153" spans="1:12" ht="26.4" x14ac:dyDescent="0.25">
      <c r="A153" s="7"/>
      <c r="B153" s="73" t="s">
        <v>57</v>
      </c>
      <c r="C153" s="72" t="s">
        <v>56</v>
      </c>
      <c r="D153" s="271">
        <v>6801.1808000000001</v>
      </c>
      <c r="E153" s="271"/>
      <c r="F153" s="271">
        <v>6801.1808000000001</v>
      </c>
      <c r="G153" s="271">
        <v>6955.1738999999998</v>
      </c>
      <c r="H153" s="345"/>
      <c r="I153" s="271">
        <v>6955.1738999999998</v>
      </c>
      <c r="J153" s="271">
        <v>7033.5983999999999</v>
      </c>
      <c r="K153" s="271"/>
      <c r="L153" s="271">
        <v>7033.5983999999999</v>
      </c>
    </row>
    <row r="154" spans="1:12" ht="79.2" x14ac:dyDescent="0.25">
      <c r="A154" s="7" t="s">
        <v>81</v>
      </c>
      <c r="B154" s="7"/>
      <c r="C154" s="146" t="s">
        <v>180</v>
      </c>
      <c r="D154" s="271">
        <f>D155+D156</f>
        <v>14960.771000000001</v>
      </c>
      <c r="E154" s="271"/>
      <c r="F154" s="271">
        <f>F155+F156</f>
        <v>14960.771000000001</v>
      </c>
      <c r="G154" s="271">
        <f>G155+G156</f>
        <v>14960.771000000001</v>
      </c>
      <c r="H154" s="345"/>
      <c r="I154" s="271">
        <f>I155+I156</f>
        <v>14960.771000000001</v>
      </c>
      <c r="J154" s="271">
        <f>J155</f>
        <v>14960.771000000001</v>
      </c>
      <c r="K154" s="271"/>
      <c r="L154" s="271">
        <f>L155</f>
        <v>14960.771000000001</v>
      </c>
    </row>
    <row r="155" spans="1:12" x14ac:dyDescent="0.25">
      <c r="A155" s="7"/>
      <c r="B155" s="7" t="s">
        <v>79</v>
      </c>
      <c r="C155" s="146" t="s">
        <v>78</v>
      </c>
      <c r="D155" s="271">
        <v>14960.771000000001</v>
      </c>
      <c r="E155" s="271"/>
      <c r="F155" s="271">
        <v>14960.771000000001</v>
      </c>
      <c r="G155" s="271">
        <v>14960.771000000001</v>
      </c>
      <c r="H155" s="345"/>
      <c r="I155" s="271">
        <v>14960.771000000001</v>
      </c>
      <c r="J155" s="271">
        <v>14960.771000000001</v>
      </c>
      <c r="K155" s="271"/>
      <c r="L155" s="271">
        <v>14960.771000000001</v>
      </c>
    </row>
    <row r="156" spans="1:12" ht="26.4" x14ac:dyDescent="0.25">
      <c r="A156" s="7"/>
      <c r="B156" s="7" t="s">
        <v>57</v>
      </c>
      <c r="C156" s="146" t="s">
        <v>56</v>
      </c>
      <c r="D156" s="272">
        <v>0</v>
      </c>
      <c r="E156" s="272"/>
      <c r="F156" s="272">
        <v>0</v>
      </c>
      <c r="G156" s="272">
        <v>0</v>
      </c>
      <c r="H156" s="351"/>
      <c r="I156" s="272">
        <v>0</v>
      </c>
      <c r="J156" s="272">
        <v>0</v>
      </c>
      <c r="K156" s="272"/>
      <c r="L156" s="272">
        <v>0</v>
      </c>
    </row>
    <row r="157" spans="1:12" ht="26.4" x14ac:dyDescent="0.25">
      <c r="A157" s="31" t="s">
        <v>233</v>
      </c>
      <c r="B157" s="31"/>
      <c r="C157" s="145" t="s">
        <v>232</v>
      </c>
      <c r="D157" s="269">
        <f>D158</f>
        <v>86454.73487</v>
      </c>
      <c r="E157" s="269">
        <f>E158+E175+E180</f>
        <v>732.10000000000582</v>
      </c>
      <c r="F157" s="269">
        <f>F158+F175+F180</f>
        <v>87186.834869999991</v>
      </c>
      <c r="G157" s="269">
        <f t="shared" ref="G157:L160" si="15">G158</f>
        <v>0</v>
      </c>
      <c r="H157" s="349"/>
      <c r="I157" s="269">
        <f t="shared" si="15"/>
        <v>0</v>
      </c>
      <c r="J157" s="269">
        <f t="shared" si="15"/>
        <v>0</v>
      </c>
      <c r="K157" s="269">
        <f t="shared" si="15"/>
        <v>7500</v>
      </c>
      <c r="L157" s="269">
        <f t="shared" si="15"/>
        <v>7500</v>
      </c>
    </row>
    <row r="158" spans="1:12" ht="52.8" x14ac:dyDescent="0.25">
      <c r="A158" s="231" t="s">
        <v>231</v>
      </c>
      <c r="B158" s="231"/>
      <c r="C158" s="235" t="s">
        <v>230</v>
      </c>
      <c r="D158" s="270">
        <f>D159+D163+D168+D171+D173</f>
        <v>86454.73487</v>
      </c>
      <c r="E158" s="270">
        <f t="shared" ref="E158:L158" si="16">E159+E163+E168+E171+E173</f>
        <v>-85722.634869999994</v>
      </c>
      <c r="F158" s="270">
        <f t="shared" si="16"/>
        <v>732.1</v>
      </c>
      <c r="G158" s="270">
        <f t="shared" si="16"/>
        <v>0</v>
      </c>
      <c r="H158" s="270"/>
      <c r="I158" s="270">
        <f t="shared" si="16"/>
        <v>0</v>
      </c>
      <c r="J158" s="270">
        <f t="shared" si="16"/>
        <v>0</v>
      </c>
      <c r="K158" s="270">
        <f t="shared" si="16"/>
        <v>7500</v>
      </c>
      <c r="L158" s="270">
        <f t="shared" si="16"/>
        <v>7500</v>
      </c>
    </row>
    <row r="159" spans="1:12" ht="52.8" x14ac:dyDescent="0.25">
      <c r="A159" s="7" t="s">
        <v>229</v>
      </c>
      <c r="B159" s="7"/>
      <c r="C159" s="431" t="s">
        <v>228</v>
      </c>
      <c r="D159" s="271">
        <f>D160</f>
        <v>18400</v>
      </c>
      <c r="E159" s="271">
        <f>E160</f>
        <v>-18400</v>
      </c>
      <c r="F159" s="271">
        <f>F160</f>
        <v>0</v>
      </c>
      <c r="G159" s="271">
        <f t="shared" si="15"/>
        <v>0</v>
      </c>
      <c r="H159" s="345"/>
      <c r="I159" s="271">
        <f t="shared" si="15"/>
        <v>0</v>
      </c>
      <c r="J159" s="271">
        <f t="shared" si="15"/>
        <v>0</v>
      </c>
      <c r="K159" s="271"/>
      <c r="L159" s="271">
        <f t="shared" si="15"/>
        <v>0</v>
      </c>
    </row>
    <row r="160" spans="1:12" ht="26.4" x14ac:dyDescent="0.25">
      <c r="A160" s="7"/>
      <c r="B160" s="7" t="s">
        <v>57</v>
      </c>
      <c r="C160" s="146" t="s">
        <v>56</v>
      </c>
      <c r="D160" s="271">
        <f>D161+D162</f>
        <v>18400</v>
      </c>
      <c r="E160" s="271">
        <f>E161+E162</f>
        <v>-18400</v>
      </c>
      <c r="F160" s="271">
        <f>F161+F162</f>
        <v>0</v>
      </c>
      <c r="G160" s="271">
        <f t="shared" si="15"/>
        <v>0</v>
      </c>
      <c r="H160" s="345"/>
      <c r="I160" s="271">
        <f t="shared" si="15"/>
        <v>0</v>
      </c>
      <c r="J160" s="271">
        <f t="shared" si="15"/>
        <v>0</v>
      </c>
      <c r="K160" s="271"/>
      <c r="L160" s="271">
        <f t="shared" si="15"/>
        <v>0</v>
      </c>
    </row>
    <row r="161" spans="1:12" x14ac:dyDescent="0.25">
      <c r="A161" s="7"/>
      <c r="B161" s="7"/>
      <c r="C161" s="146" t="s">
        <v>165</v>
      </c>
      <c r="D161" s="271">
        <v>16560</v>
      </c>
      <c r="E161" s="271">
        <v>-16560</v>
      </c>
      <c r="F161" s="271">
        <v>0</v>
      </c>
      <c r="G161" s="271">
        <v>0</v>
      </c>
      <c r="H161" s="345"/>
      <c r="I161" s="271">
        <v>0</v>
      </c>
      <c r="J161" s="271">
        <v>0</v>
      </c>
      <c r="K161" s="271"/>
      <c r="L161" s="271">
        <v>0</v>
      </c>
    </row>
    <row r="162" spans="1:12" x14ac:dyDescent="0.25">
      <c r="A162" s="7"/>
      <c r="B162" s="7"/>
      <c r="C162" s="146" t="s">
        <v>164</v>
      </c>
      <c r="D162" s="271">
        <v>1840</v>
      </c>
      <c r="E162" s="271">
        <v>-1840</v>
      </c>
      <c r="F162" s="271">
        <v>0</v>
      </c>
      <c r="G162" s="271">
        <v>0</v>
      </c>
      <c r="H162" s="345"/>
      <c r="I162" s="271">
        <v>0</v>
      </c>
      <c r="J162" s="271">
        <v>0</v>
      </c>
      <c r="K162" s="271"/>
      <c r="L162" s="271">
        <v>0</v>
      </c>
    </row>
    <row r="163" spans="1:12" ht="52.8" x14ac:dyDescent="0.25">
      <c r="A163" s="75" t="s">
        <v>613</v>
      </c>
      <c r="B163" s="75"/>
      <c r="C163" s="431" t="s">
        <v>612</v>
      </c>
      <c r="D163" s="271">
        <f>D164</f>
        <v>68054.73487</v>
      </c>
      <c r="E163" s="271">
        <f>E164</f>
        <v>-68054.73487</v>
      </c>
      <c r="F163" s="271">
        <f>F164</f>
        <v>0</v>
      </c>
      <c r="G163" s="271">
        <f>G164</f>
        <v>0</v>
      </c>
      <c r="H163" s="345"/>
      <c r="I163" s="271">
        <f>I164</f>
        <v>0</v>
      </c>
      <c r="J163" s="271">
        <f>J164</f>
        <v>0</v>
      </c>
      <c r="K163" s="271"/>
      <c r="L163" s="271">
        <f>L164</f>
        <v>0</v>
      </c>
    </row>
    <row r="164" spans="1:12" ht="26.4" x14ac:dyDescent="0.25">
      <c r="A164" s="7"/>
      <c r="B164" s="7" t="s">
        <v>57</v>
      </c>
      <c r="C164" s="146" t="s">
        <v>56</v>
      </c>
      <c r="D164" s="271">
        <f>D165+D166+D167</f>
        <v>68054.73487</v>
      </c>
      <c r="E164" s="271">
        <f>E165+E166+E167</f>
        <v>-68054.73487</v>
      </c>
      <c r="F164" s="271">
        <f>F165+F166+F167</f>
        <v>0</v>
      </c>
      <c r="G164" s="271">
        <v>0</v>
      </c>
      <c r="H164" s="345"/>
      <c r="I164" s="271">
        <v>0</v>
      </c>
      <c r="J164" s="271">
        <v>0</v>
      </c>
      <c r="K164" s="271"/>
      <c r="L164" s="271">
        <v>0</v>
      </c>
    </row>
    <row r="165" spans="1:12" x14ac:dyDescent="0.25">
      <c r="A165" s="7"/>
      <c r="B165" s="7"/>
      <c r="C165" s="146" t="s">
        <v>760</v>
      </c>
      <c r="D165" s="271">
        <v>48355.3</v>
      </c>
      <c r="E165" s="271">
        <v>-48355.3</v>
      </c>
      <c r="F165" s="271">
        <v>0</v>
      </c>
      <c r="G165" s="271">
        <v>0</v>
      </c>
      <c r="H165" s="345"/>
      <c r="I165" s="271">
        <v>0</v>
      </c>
      <c r="J165" s="271">
        <v>0</v>
      </c>
      <c r="K165" s="271"/>
      <c r="L165" s="271">
        <v>0</v>
      </c>
    </row>
    <row r="166" spans="1:12" x14ac:dyDescent="0.25">
      <c r="A166" s="7"/>
      <c r="B166" s="7"/>
      <c r="C166" s="146" t="s">
        <v>238</v>
      </c>
      <c r="D166" s="271">
        <v>14443.79091</v>
      </c>
      <c r="E166" s="271">
        <v>-14443.79091</v>
      </c>
      <c r="F166" s="271">
        <v>0</v>
      </c>
      <c r="G166" s="271">
        <v>0</v>
      </c>
      <c r="H166" s="345"/>
      <c r="I166" s="271">
        <v>0</v>
      </c>
      <c r="J166" s="271">
        <v>0</v>
      </c>
      <c r="K166" s="271"/>
      <c r="L166" s="271">
        <v>0</v>
      </c>
    </row>
    <row r="167" spans="1:12" x14ac:dyDescent="0.25">
      <c r="A167" s="7"/>
      <c r="B167" s="7"/>
      <c r="C167" s="146" t="s">
        <v>77</v>
      </c>
      <c r="D167" s="271">
        <v>5255.6439600000003</v>
      </c>
      <c r="E167" s="271">
        <v>-5255.6439600000003</v>
      </c>
      <c r="F167" s="271">
        <v>0</v>
      </c>
      <c r="G167" s="271">
        <v>0</v>
      </c>
      <c r="H167" s="345"/>
      <c r="I167" s="271">
        <v>0</v>
      </c>
      <c r="J167" s="271">
        <v>0</v>
      </c>
      <c r="K167" s="271"/>
      <c r="L167" s="271">
        <v>0</v>
      </c>
    </row>
    <row r="168" spans="1:12" ht="39.6" x14ac:dyDescent="0.25">
      <c r="A168" s="7" t="s">
        <v>870</v>
      </c>
      <c r="B168" s="362"/>
      <c r="C168" s="363" t="s">
        <v>871</v>
      </c>
      <c r="D168" s="364">
        <v>0</v>
      </c>
      <c r="E168" s="364"/>
      <c r="F168" s="364">
        <v>0</v>
      </c>
      <c r="G168" s="364">
        <v>0</v>
      </c>
      <c r="H168" s="364"/>
      <c r="I168" s="364">
        <v>0</v>
      </c>
      <c r="J168" s="364">
        <v>0</v>
      </c>
      <c r="K168" s="364">
        <f>K169</f>
        <v>7500</v>
      </c>
      <c r="L168" s="364">
        <f>L169</f>
        <v>7500</v>
      </c>
    </row>
    <row r="169" spans="1:12" ht="26.4" x14ac:dyDescent="0.25">
      <c r="A169" s="362"/>
      <c r="B169" s="7" t="s">
        <v>57</v>
      </c>
      <c r="C169" s="146" t="s">
        <v>56</v>
      </c>
      <c r="D169" s="364">
        <v>0</v>
      </c>
      <c r="E169" s="364"/>
      <c r="F169" s="364">
        <v>0</v>
      </c>
      <c r="G169" s="364">
        <v>0</v>
      </c>
      <c r="H169" s="364"/>
      <c r="I169" s="364">
        <v>0</v>
      </c>
      <c r="J169" s="364">
        <v>0</v>
      </c>
      <c r="K169" s="364">
        <f>K170</f>
        <v>7500</v>
      </c>
      <c r="L169" s="364">
        <f>L170</f>
        <v>7500</v>
      </c>
    </row>
    <row r="170" spans="1:12" x14ac:dyDescent="0.25">
      <c r="A170" s="362"/>
      <c r="B170" s="362"/>
      <c r="C170" s="146" t="s">
        <v>77</v>
      </c>
      <c r="D170" s="364">
        <v>0</v>
      </c>
      <c r="E170" s="364"/>
      <c r="F170" s="364">
        <v>0</v>
      </c>
      <c r="G170" s="364">
        <v>0</v>
      </c>
      <c r="H170" s="364"/>
      <c r="I170" s="364">
        <v>0</v>
      </c>
      <c r="J170" s="364">
        <v>0</v>
      </c>
      <c r="K170" s="364">
        <v>7500</v>
      </c>
      <c r="L170" s="364">
        <v>7500</v>
      </c>
    </row>
    <row r="171" spans="1:12" ht="39.6" x14ac:dyDescent="0.25">
      <c r="A171" s="450" t="s">
        <v>915</v>
      </c>
      <c r="B171" s="445"/>
      <c r="C171" s="446" t="s">
        <v>916</v>
      </c>
      <c r="D171" s="364">
        <f>D172</f>
        <v>0</v>
      </c>
      <c r="E171" s="364">
        <f>E172</f>
        <v>401</v>
      </c>
      <c r="F171" s="364">
        <f>F172</f>
        <v>401</v>
      </c>
      <c r="G171" s="364">
        <v>0</v>
      </c>
      <c r="H171" s="364"/>
      <c r="I171" s="364">
        <v>0</v>
      </c>
      <c r="J171" s="364">
        <v>0</v>
      </c>
      <c r="K171" s="364"/>
      <c r="L171" s="364">
        <f>L172</f>
        <v>0</v>
      </c>
    </row>
    <row r="172" spans="1:12" ht="26.4" x14ac:dyDescent="0.25">
      <c r="A172" s="447"/>
      <c r="B172" s="445" t="s">
        <v>57</v>
      </c>
      <c r="C172" s="446" t="s">
        <v>56</v>
      </c>
      <c r="D172" s="364">
        <v>0</v>
      </c>
      <c r="E172" s="364">
        <v>401</v>
      </c>
      <c r="F172" s="364">
        <f>0+401</f>
        <v>401</v>
      </c>
      <c r="G172" s="364">
        <v>0</v>
      </c>
      <c r="H172" s="364"/>
      <c r="I172" s="364">
        <v>0</v>
      </c>
      <c r="J172" s="364">
        <v>0</v>
      </c>
      <c r="K172" s="364"/>
      <c r="L172" s="364">
        <v>0</v>
      </c>
    </row>
    <row r="173" spans="1:12" ht="79.2" x14ac:dyDescent="0.25">
      <c r="A173" s="451" t="s">
        <v>917</v>
      </c>
      <c r="B173" s="448"/>
      <c r="C173" s="449" t="s">
        <v>918</v>
      </c>
      <c r="D173" s="364">
        <f>D174</f>
        <v>0</v>
      </c>
      <c r="E173" s="364">
        <f t="shared" ref="E173:L173" si="17">E174</f>
        <v>331.1</v>
      </c>
      <c r="F173" s="364">
        <f t="shared" si="17"/>
        <v>331.1</v>
      </c>
      <c r="G173" s="364">
        <f t="shared" si="17"/>
        <v>0</v>
      </c>
      <c r="H173" s="364"/>
      <c r="I173" s="364">
        <f t="shared" si="17"/>
        <v>0</v>
      </c>
      <c r="J173" s="364">
        <f t="shared" si="17"/>
        <v>0</v>
      </c>
      <c r="K173" s="364"/>
      <c r="L173" s="364">
        <f t="shared" si="17"/>
        <v>0</v>
      </c>
    </row>
    <row r="174" spans="1:12" ht="26.4" x14ac:dyDescent="0.25">
      <c r="A174" s="445"/>
      <c r="B174" s="445" t="s">
        <v>57</v>
      </c>
      <c r="C174" s="446" t="s">
        <v>56</v>
      </c>
      <c r="D174" s="364">
        <v>0</v>
      </c>
      <c r="E174" s="364">
        <v>331.1</v>
      </c>
      <c r="F174" s="364">
        <f>0+331.1</f>
        <v>331.1</v>
      </c>
      <c r="G174" s="364">
        <v>0</v>
      </c>
      <c r="H174" s="364"/>
      <c r="I174" s="364">
        <v>0</v>
      </c>
      <c r="J174" s="364">
        <v>0</v>
      </c>
      <c r="K174" s="364"/>
      <c r="L174" s="364">
        <v>0</v>
      </c>
    </row>
    <row r="175" spans="1:12" ht="26.4" x14ac:dyDescent="0.25">
      <c r="A175" s="369" t="s">
        <v>896</v>
      </c>
      <c r="B175" s="408"/>
      <c r="C175" s="409" t="s">
        <v>874</v>
      </c>
      <c r="D175" s="430">
        <f>+D176</f>
        <v>0</v>
      </c>
      <c r="E175" s="430">
        <f>+E176</f>
        <v>18400</v>
      </c>
      <c r="F175" s="430">
        <f t="shared" ref="F175:L175" si="18">+F176</f>
        <v>18400</v>
      </c>
      <c r="G175" s="430">
        <f t="shared" si="18"/>
        <v>0</v>
      </c>
      <c r="H175" s="430"/>
      <c r="I175" s="430">
        <f t="shared" si="18"/>
        <v>0</v>
      </c>
      <c r="J175" s="430">
        <f t="shared" si="18"/>
        <v>0</v>
      </c>
      <c r="K175" s="430"/>
      <c r="L175" s="430">
        <f t="shared" si="18"/>
        <v>0</v>
      </c>
    </row>
    <row r="176" spans="1:12" ht="52.8" x14ac:dyDescent="0.25">
      <c r="A176" s="362" t="s">
        <v>897</v>
      </c>
      <c r="B176" s="362"/>
      <c r="C176" s="433" t="s">
        <v>228</v>
      </c>
      <c r="D176" s="427">
        <f t="shared" ref="D176:L176" si="19">D177</f>
        <v>0</v>
      </c>
      <c r="E176" s="427">
        <f t="shared" si="19"/>
        <v>18400</v>
      </c>
      <c r="F176" s="427">
        <f t="shared" si="19"/>
        <v>18400</v>
      </c>
      <c r="G176" s="427">
        <f t="shared" si="19"/>
        <v>0</v>
      </c>
      <c r="H176" s="427"/>
      <c r="I176" s="427">
        <f t="shared" si="19"/>
        <v>0</v>
      </c>
      <c r="J176" s="427">
        <f t="shared" si="19"/>
        <v>0</v>
      </c>
      <c r="K176" s="427"/>
      <c r="L176" s="427">
        <f t="shared" si="19"/>
        <v>0</v>
      </c>
    </row>
    <row r="177" spans="1:14" ht="26.4" x14ac:dyDescent="0.25">
      <c r="A177" s="362"/>
      <c r="B177" s="362" t="s">
        <v>57</v>
      </c>
      <c r="C177" s="365" t="s">
        <v>56</v>
      </c>
      <c r="D177" s="427">
        <f t="shared" ref="D177:L177" si="20">D178+D179</f>
        <v>0</v>
      </c>
      <c r="E177" s="427">
        <f t="shared" si="20"/>
        <v>18400</v>
      </c>
      <c r="F177" s="427">
        <f t="shared" si="20"/>
        <v>18400</v>
      </c>
      <c r="G177" s="427">
        <f t="shared" si="20"/>
        <v>0</v>
      </c>
      <c r="H177" s="427"/>
      <c r="I177" s="427">
        <f t="shared" si="20"/>
        <v>0</v>
      </c>
      <c r="J177" s="427">
        <f t="shared" si="20"/>
        <v>0</v>
      </c>
      <c r="K177" s="427"/>
      <c r="L177" s="427">
        <f t="shared" si="20"/>
        <v>0</v>
      </c>
    </row>
    <row r="178" spans="1:14" x14ac:dyDescent="0.25">
      <c r="A178" s="362"/>
      <c r="B178" s="362"/>
      <c r="C178" s="365" t="s">
        <v>165</v>
      </c>
      <c r="D178" s="428">
        <v>0</v>
      </c>
      <c r="E178" s="427">
        <v>16560</v>
      </c>
      <c r="F178" s="427">
        <v>16560</v>
      </c>
      <c r="G178" s="364">
        <v>0</v>
      </c>
      <c r="H178" s="364"/>
      <c r="I178" s="364">
        <v>0</v>
      </c>
      <c r="J178" s="364">
        <v>0</v>
      </c>
      <c r="K178" s="364"/>
      <c r="L178" s="364">
        <v>0</v>
      </c>
    </row>
    <row r="179" spans="1:14" x14ac:dyDescent="0.25">
      <c r="A179" s="362"/>
      <c r="B179" s="362"/>
      <c r="C179" s="365" t="s">
        <v>164</v>
      </c>
      <c r="D179" s="364">
        <v>0</v>
      </c>
      <c r="E179" s="427">
        <v>1840</v>
      </c>
      <c r="F179" s="427">
        <v>1840</v>
      </c>
      <c r="G179" s="364">
        <v>0</v>
      </c>
      <c r="H179" s="364"/>
      <c r="I179" s="364">
        <v>0</v>
      </c>
      <c r="J179" s="364">
        <v>0</v>
      </c>
      <c r="K179" s="364"/>
      <c r="L179" s="364">
        <v>0</v>
      </c>
    </row>
    <row r="180" spans="1:14" ht="26.4" x14ac:dyDescent="0.25">
      <c r="A180" s="369" t="s">
        <v>898</v>
      </c>
      <c r="B180" s="408"/>
      <c r="C180" s="373" t="s">
        <v>899</v>
      </c>
      <c r="D180" s="430">
        <f>D181</f>
        <v>0</v>
      </c>
      <c r="E180" s="430">
        <f>E181</f>
        <v>68054.73487</v>
      </c>
      <c r="F180" s="430">
        <f t="shared" ref="F180:L180" si="21">F181</f>
        <v>68054.73487</v>
      </c>
      <c r="G180" s="430">
        <f t="shared" si="21"/>
        <v>0</v>
      </c>
      <c r="H180" s="430"/>
      <c r="I180" s="430">
        <f t="shared" si="21"/>
        <v>0</v>
      </c>
      <c r="J180" s="430">
        <f t="shared" si="21"/>
        <v>0</v>
      </c>
      <c r="K180" s="430"/>
      <c r="L180" s="430">
        <f t="shared" si="21"/>
        <v>0</v>
      </c>
    </row>
    <row r="181" spans="1:14" ht="26.4" x14ac:dyDescent="0.25">
      <c r="A181" s="411" t="s">
        <v>900</v>
      </c>
      <c r="B181" s="407"/>
      <c r="C181" s="434" t="s">
        <v>901</v>
      </c>
      <c r="D181" s="364">
        <v>0</v>
      </c>
      <c r="E181" s="427">
        <f t="shared" ref="E181:L181" si="22">E182</f>
        <v>68054.73487</v>
      </c>
      <c r="F181" s="427">
        <f t="shared" si="22"/>
        <v>68054.73487</v>
      </c>
      <c r="G181" s="427">
        <f t="shared" si="22"/>
        <v>0</v>
      </c>
      <c r="H181" s="427"/>
      <c r="I181" s="427">
        <f t="shared" si="22"/>
        <v>0</v>
      </c>
      <c r="J181" s="427">
        <f t="shared" si="22"/>
        <v>0</v>
      </c>
      <c r="K181" s="427"/>
      <c r="L181" s="427">
        <f t="shared" si="22"/>
        <v>0</v>
      </c>
    </row>
    <row r="182" spans="1:14" ht="26.4" x14ac:dyDescent="0.25">
      <c r="A182" s="407"/>
      <c r="B182" s="362" t="s">
        <v>57</v>
      </c>
      <c r="C182" s="365" t="s">
        <v>56</v>
      </c>
      <c r="D182" s="364">
        <v>0</v>
      </c>
      <c r="E182" s="427">
        <f t="shared" ref="E182:L182" si="23">E184+E185+E183</f>
        <v>68054.73487</v>
      </c>
      <c r="F182" s="427">
        <f t="shared" si="23"/>
        <v>68054.73487</v>
      </c>
      <c r="G182" s="427">
        <f t="shared" si="23"/>
        <v>0</v>
      </c>
      <c r="H182" s="427"/>
      <c r="I182" s="427">
        <f t="shared" si="23"/>
        <v>0</v>
      </c>
      <c r="J182" s="427">
        <f t="shared" si="23"/>
        <v>0</v>
      </c>
      <c r="K182" s="427"/>
      <c r="L182" s="427">
        <f t="shared" si="23"/>
        <v>0</v>
      </c>
    </row>
    <row r="183" spans="1:14" x14ac:dyDescent="0.25">
      <c r="A183" s="407"/>
      <c r="B183" s="362"/>
      <c r="C183" s="365" t="s">
        <v>761</v>
      </c>
      <c r="D183" s="364">
        <v>0</v>
      </c>
      <c r="E183" s="427">
        <v>48355.3</v>
      </c>
      <c r="F183" s="427">
        <v>48355.3</v>
      </c>
      <c r="G183" s="428">
        <v>0</v>
      </c>
      <c r="H183" s="428"/>
      <c r="I183" s="428">
        <v>0</v>
      </c>
      <c r="J183" s="428">
        <v>0</v>
      </c>
      <c r="K183" s="428"/>
      <c r="L183" s="428">
        <v>0</v>
      </c>
    </row>
    <row r="184" spans="1:14" x14ac:dyDescent="0.25">
      <c r="A184" s="407"/>
      <c r="B184" s="362"/>
      <c r="C184" s="365" t="s">
        <v>238</v>
      </c>
      <c r="D184" s="364">
        <v>0</v>
      </c>
      <c r="E184" s="429">
        <v>14443.79091</v>
      </c>
      <c r="F184" s="429">
        <v>14443.79091</v>
      </c>
      <c r="G184" s="428">
        <v>0</v>
      </c>
      <c r="H184" s="428"/>
      <c r="I184" s="428">
        <v>0</v>
      </c>
      <c r="J184" s="428">
        <v>0</v>
      </c>
      <c r="K184" s="428"/>
      <c r="L184" s="428">
        <v>0</v>
      </c>
    </row>
    <row r="185" spans="1:14" x14ac:dyDescent="0.25">
      <c r="A185" s="407"/>
      <c r="B185" s="362"/>
      <c r="C185" s="365" t="s">
        <v>77</v>
      </c>
      <c r="D185" s="364">
        <v>0</v>
      </c>
      <c r="E185" s="427">
        <f>5119.13372+136.51024</f>
        <v>5255.6439599999994</v>
      </c>
      <c r="F185" s="427">
        <f>5119.13372+136.51024</f>
        <v>5255.6439599999994</v>
      </c>
      <c r="G185" s="428">
        <v>0</v>
      </c>
      <c r="H185" s="428"/>
      <c r="I185" s="428">
        <v>0</v>
      </c>
      <c r="J185" s="428">
        <v>0</v>
      </c>
      <c r="K185" s="428"/>
      <c r="L185" s="428">
        <v>0</v>
      </c>
    </row>
    <row r="186" spans="1:14" ht="26.4" x14ac:dyDescent="0.25">
      <c r="A186" s="31" t="s">
        <v>199</v>
      </c>
      <c r="B186" s="31"/>
      <c r="C186" s="145" t="s">
        <v>644</v>
      </c>
      <c r="D186" s="269">
        <f>D187</f>
        <v>53.3</v>
      </c>
      <c r="E186" s="269"/>
      <c r="F186" s="269">
        <f>F187</f>
        <v>53.3</v>
      </c>
      <c r="G186" s="269">
        <f t="shared" ref="G186:L188" si="24">G187</f>
        <v>53.3</v>
      </c>
      <c r="H186" s="349"/>
      <c r="I186" s="269">
        <f t="shared" si="24"/>
        <v>53.3</v>
      </c>
      <c r="J186" s="269">
        <f t="shared" si="24"/>
        <v>53.3</v>
      </c>
      <c r="K186" s="269"/>
      <c r="L186" s="269">
        <f t="shared" si="24"/>
        <v>53.3</v>
      </c>
    </row>
    <row r="187" spans="1:14" ht="26.4" x14ac:dyDescent="0.25">
      <c r="A187" s="223" t="s">
        <v>197</v>
      </c>
      <c r="B187" s="223"/>
      <c r="C187" s="235" t="s">
        <v>196</v>
      </c>
      <c r="D187" s="270">
        <f>D188</f>
        <v>53.3</v>
      </c>
      <c r="E187" s="270"/>
      <c r="F187" s="270">
        <f>F188</f>
        <v>53.3</v>
      </c>
      <c r="G187" s="270">
        <f t="shared" si="24"/>
        <v>53.3</v>
      </c>
      <c r="H187" s="350"/>
      <c r="I187" s="270">
        <f t="shared" si="24"/>
        <v>53.3</v>
      </c>
      <c r="J187" s="270">
        <f t="shared" si="24"/>
        <v>53.3</v>
      </c>
      <c r="K187" s="270"/>
      <c r="L187" s="270">
        <f t="shared" si="24"/>
        <v>53.3</v>
      </c>
    </row>
    <row r="188" spans="1:14" ht="39.6" x14ac:dyDescent="0.25">
      <c r="A188" s="7" t="s">
        <v>195</v>
      </c>
      <c r="B188" s="7"/>
      <c r="C188" s="146" t="s">
        <v>194</v>
      </c>
      <c r="D188" s="271">
        <f>D189</f>
        <v>53.3</v>
      </c>
      <c r="E188" s="271"/>
      <c r="F188" s="271">
        <f>F189</f>
        <v>53.3</v>
      </c>
      <c r="G188" s="271">
        <f t="shared" si="24"/>
        <v>53.3</v>
      </c>
      <c r="H188" s="345"/>
      <c r="I188" s="271">
        <f t="shared" si="24"/>
        <v>53.3</v>
      </c>
      <c r="J188" s="271">
        <f t="shared" si="24"/>
        <v>53.3</v>
      </c>
      <c r="K188" s="271"/>
      <c r="L188" s="271">
        <f t="shared" si="24"/>
        <v>53.3</v>
      </c>
    </row>
    <row r="189" spans="1:14" ht="26.4" x14ac:dyDescent="0.25">
      <c r="A189" s="7"/>
      <c r="B189" s="7" t="s">
        <v>57</v>
      </c>
      <c r="C189" s="146" t="s">
        <v>56</v>
      </c>
      <c r="D189" s="271">
        <v>53.3</v>
      </c>
      <c r="E189" s="271"/>
      <c r="F189" s="271">
        <v>53.3</v>
      </c>
      <c r="G189" s="271">
        <v>53.3</v>
      </c>
      <c r="H189" s="345"/>
      <c r="I189" s="271">
        <v>53.3</v>
      </c>
      <c r="J189" s="271">
        <v>53.3</v>
      </c>
      <c r="K189" s="271"/>
      <c r="L189" s="271">
        <v>53.3</v>
      </c>
    </row>
    <row r="190" spans="1:14" s="1" customFormat="1" ht="53.4" x14ac:dyDescent="0.3">
      <c r="A190" s="242" t="s">
        <v>272</v>
      </c>
      <c r="B190" s="242"/>
      <c r="C190" s="245" t="s">
        <v>271</v>
      </c>
      <c r="D190" s="268">
        <f>D191+D199+D207</f>
        <v>6749.4340000000002</v>
      </c>
      <c r="E190" s="268">
        <f>E191+E199+E207</f>
        <v>0</v>
      </c>
      <c r="F190" s="268">
        <f>F191+F199+F207</f>
        <v>6749.4340000000002</v>
      </c>
      <c r="G190" s="268">
        <f>G191+G199+G207</f>
        <v>15104.70572</v>
      </c>
      <c r="H190" s="348"/>
      <c r="I190" s="268">
        <f>I191+I199+I207</f>
        <v>15104.70572</v>
      </c>
      <c r="J190" s="268">
        <f>J191+J199</f>
        <v>7636.1</v>
      </c>
      <c r="K190" s="268"/>
      <c r="L190" s="268">
        <f>L191+L199</f>
        <v>7636.1</v>
      </c>
    </row>
    <row r="191" spans="1:14" s="1" customFormat="1" ht="27" x14ac:dyDescent="0.3">
      <c r="A191" s="223" t="s">
        <v>283</v>
      </c>
      <c r="B191" s="223"/>
      <c r="C191" s="224" t="s">
        <v>282</v>
      </c>
      <c r="D191" s="270">
        <f>D192+D194</f>
        <v>6564.2340000000004</v>
      </c>
      <c r="E191" s="270">
        <f>E192+E194</f>
        <v>0</v>
      </c>
      <c r="F191" s="270">
        <f>F192+F194</f>
        <v>6564.2340000000004</v>
      </c>
      <c r="G191" s="270">
        <f>G192+G194</f>
        <v>7475.1610000000001</v>
      </c>
      <c r="H191" s="350"/>
      <c r="I191" s="270">
        <f>I192+I194</f>
        <v>7475.1610000000001</v>
      </c>
      <c r="J191" s="270">
        <f>J192+J194</f>
        <v>0</v>
      </c>
      <c r="K191" s="270"/>
      <c r="L191" s="270">
        <f>L192+L194</f>
        <v>0</v>
      </c>
      <c r="M191" s="290">
        <f>M192+M193+M194</f>
        <v>7636.1</v>
      </c>
    </row>
    <row r="192" spans="1:14" s="1" customFormat="1" ht="14.4" x14ac:dyDescent="0.3">
      <c r="A192" s="7" t="s">
        <v>281</v>
      </c>
      <c r="B192" s="7"/>
      <c r="C192" s="6" t="s">
        <v>842</v>
      </c>
      <c r="D192" s="271">
        <f>D193</f>
        <v>5012.1400000000003</v>
      </c>
      <c r="E192" s="271"/>
      <c r="F192" s="271">
        <f>F193</f>
        <v>5012.1400000000003</v>
      </c>
      <c r="G192" s="271">
        <f>G193</f>
        <v>5060.3379999999997</v>
      </c>
      <c r="H192" s="345"/>
      <c r="I192" s="271">
        <f>I193</f>
        <v>5060.3379999999997</v>
      </c>
      <c r="J192" s="271">
        <f>J193</f>
        <v>0</v>
      </c>
      <c r="K192" s="271"/>
      <c r="L192" s="271">
        <f>L193</f>
        <v>0</v>
      </c>
      <c r="M192" s="290">
        <f>J198+J212</f>
        <v>0</v>
      </c>
      <c r="N192" s="1" t="s">
        <v>635</v>
      </c>
    </row>
    <row r="193" spans="1:14" s="1" customFormat="1" ht="14.4" x14ac:dyDescent="0.3">
      <c r="A193" s="7"/>
      <c r="B193" s="7" t="s">
        <v>79</v>
      </c>
      <c r="C193" s="6" t="s">
        <v>78</v>
      </c>
      <c r="D193" s="271">
        <v>5012.1400000000003</v>
      </c>
      <c r="E193" s="271"/>
      <c r="F193" s="271">
        <v>5012.1400000000003</v>
      </c>
      <c r="G193" s="271">
        <v>5060.3379999999997</v>
      </c>
      <c r="H193" s="345"/>
      <c r="I193" s="271">
        <v>5060.3379999999997</v>
      </c>
      <c r="J193" s="271">
        <v>0</v>
      </c>
      <c r="K193" s="271"/>
      <c r="L193" s="271">
        <v>0</v>
      </c>
      <c r="M193" s="290">
        <f>J192+J197+J200+J202+J204+J211</f>
        <v>7636.1</v>
      </c>
      <c r="N193" s="1" t="s">
        <v>634</v>
      </c>
    </row>
    <row r="194" spans="1:14" s="1" customFormat="1" ht="66.599999999999994" x14ac:dyDescent="0.3">
      <c r="A194" s="7" t="s">
        <v>280</v>
      </c>
      <c r="B194" s="7"/>
      <c r="C194" s="12" t="s">
        <v>279</v>
      </c>
      <c r="D194" s="271">
        <f>D195</f>
        <v>1552.0940000000001</v>
      </c>
      <c r="E194" s="271"/>
      <c r="F194" s="271">
        <f>F195</f>
        <v>1552.0939999999998</v>
      </c>
      <c r="G194" s="271">
        <f>G195</f>
        <v>2414.8230000000003</v>
      </c>
      <c r="H194" s="345"/>
      <c r="I194" s="271">
        <f>I195</f>
        <v>2414.8230000000003</v>
      </c>
      <c r="J194" s="271">
        <f>J195</f>
        <v>0</v>
      </c>
      <c r="K194" s="271"/>
      <c r="L194" s="271">
        <f>L195</f>
        <v>0</v>
      </c>
      <c r="M194" s="290">
        <f>J196</f>
        <v>0</v>
      </c>
      <c r="N194" s="1" t="s">
        <v>633</v>
      </c>
    </row>
    <row r="195" spans="1:14" s="1" customFormat="1" ht="14.4" x14ac:dyDescent="0.3">
      <c r="A195" s="7"/>
      <c r="B195" s="7" t="s">
        <v>79</v>
      </c>
      <c r="C195" s="6" t="s">
        <v>78</v>
      </c>
      <c r="D195" s="271">
        <f>D196+D197+D198</f>
        <v>1552.0940000000001</v>
      </c>
      <c r="E195" s="271"/>
      <c r="F195" s="271">
        <f>F196+F197+F198</f>
        <v>1552.0939999999998</v>
      </c>
      <c r="G195" s="271">
        <f>G196+G197+G198</f>
        <v>2414.8230000000003</v>
      </c>
      <c r="H195" s="345"/>
      <c r="I195" s="271">
        <f>I196+I197+I198</f>
        <v>2414.8230000000003</v>
      </c>
      <c r="J195" s="271">
        <f>J196+J197+J198</f>
        <v>0</v>
      </c>
      <c r="K195" s="271"/>
      <c r="L195" s="271">
        <f>L196+L197+L198</f>
        <v>0</v>
      </c>
    </row>
    <row r="196" spans="1:14" s="1" customFormat="1" ht="14.4" x14ac:dyDescent="0.3">
      <c r="A196" s="7"/>
      <c r="B196" s="7"/>
      <c r="C196" s="6" t="s">
        <v>115</v>
      </c>
      <c r="D196" s="271">
        <v>0</v>
      </c>
      <c r="E196" s="271"/>
      <c r="F196" s="271">
        <v>0</v>
      </c>
      <c r="G196" s="271">
        <v>1094.8900000000001</v>
      </c>
      <c r="H196" s="345"/>
      <c r="I196" s="271">
        <v>1094.8900000000001</v>
      </c>
      <c r="J196" s="271">
        <v>0</v>
      </c>
      <c r="K196" s="271"/>
      <c r="L196" s="271">
        <v>0</v>
      </c>
    </row>
    <row r="197" spans="1:14" s="1" customFormat="1" ht="14.4" x14ac:dyDescent="0.3">
      <c r="A197" s="7"/>
      <c r="B197" s="7"/>
      <c r="C197" s="6" t="s">
        <v>114</v>
      </c>
      <c r="D197" s="271">
        <v>0</v>
      </c>
      <c r="E197" s="271"/>
      <c r="F197" s="271">
        <v>0</v>
      </c>
      <c r="G197" s="271">
        <v>327.04500000000002</v>
      </c>
      <c r="H197" s="345"/>
      <c r="I197" s="271">
        <v>327.04500000000002</v>
      </c>
      <c r="J197" s="271">
        <v>0</v>
      </c>
      <c r="K197" s="271"/>
      <c r="L197" s="271">
        <v>0</v>
      </c>
    </row>
    <row r="198" spans="1:14" s="1" customFormat="1" ht="14.4" x14ac:dyDescent="0.3">
      <c r="A198" s="7"/>
      <c r="B198" s="7"/>
      <c r="C198" s="6" t="s">
        <v>106</v>
      </c>
      <c r="D198" s="271">
        <v>1552.0940000000001</v>
      </c>
      <c r="E198" s="271"/>
      <c r="F198" s="271">
        <f>1424.494+127.6</f>
        <v>1552.0939999999998</v>
      </c>
      <c r="G198" s="271">
        <v>992.88800000000003</v>
      </c>
      <c r="H198" s="345"/>
      <c r="I198" s="271">
        <v>992.88800000000003</v>
      </c>
      <c r="J198" s="271">
        <v>0</v>
      </c>
      <c r="K198" s="271"/>
      <c r="L198" s="271">
        <v>0</v>
      </c>
    </row>
    <row r="199" spans="1:14" s="1" customFormat="1" ht="53.4" x14ac:dyDescent="0.3">
      <c r="A199" s="223" t="s">
        <v>270</v>
      </c>
      <c r="B199" s="223"/>
      <c r="C199" s="224" t="s">
        <v>269</v>
      </c>
      <c r="D199" s="270">
        <f>D200+D202+D204</f>
        <v>185.2</v>
      </c>
      <c r="E199" s="270"/>
      <c r="F199" s="270">
        <f>F200+F202+F204</f>
        <v>185.2</v>
      </c>
      <c r="G199" s="270">
        <f>G200+G202+G204</f>
        <v>7627.3</v>
      </c>
      <c r="H199" s="350"/>
      <c r="I199" s="270">
        <f>I200+I202+I204</f>
        <v>7627.3</v>
      </c>
      <c r="J199" s="270">
        <f>J200+J202+J204</f>
        <v>7636.1</v>
      </c>
      <c r="K199" s="270"/>
      <c r="L199" s="270">
        <f>L200+L202+L204</f>
        <v>7636.1</v>
      </c>
    </row>
    <row r="200" spans="1:14" s="1" customFormat="1" ht="40.200000000000003" x14ac:dyDescent="0.3">
      <c r="A200" s="7" t="s">
        <v>268</v>
      </c>
      <c r="B200" s="7"/>
      <c r="C200" s="6" t="s">
        <v>267</v>
      </c>
      <c r="D200" s="271">
        <f>D201</f>
        <v>93</v>
      </c>
      <c r="E200" s="271"/>
      <c r="F200" s="271">
        <f>F201</f>
        <v>93</v>
      </c>
      <c r="G200" s="271">
        <f>G201</f>
        <v>101.3</v>
      </c>
      <c r="H200" s="345"/>
      <c r="I200" s="271">
        <f>I201</f>
        <v>101.3</v>
      </c>
      <c r="J200" s="271">
        <f>J201</f>
        <v>110.1</v>
      </c>
      <c r="K200" s="271"/>
      <c r="L200" s="271">
        <f>L201</f>
        <v>110.1</v>
      </c>
    </row>
    <row r="201" spans="1:14" s="1" customFormat="1" ht="27" x14ac:dyDescent="0.3">
      <c r="A201" s="7"/>
      <c r="B201" s="7" t="s">
        <v>12</v>
      </c>
      <c r="C201" s="6" t="s">
        <v>11</v>
      </c>
      <c r="D201" s="271">
        <v>93</v>
      </c>
      <c r="E201" s="271"/>
      <c r="F201" s="271">
        <v>93</v>
      </c>
      <c r="G201" s="271">
        <v>101.3</v>
      </c>
      <c r="H201" s="345"/>
      <c r="I201" s="271">
        <v>101.3</v>
      </c>
      <c r="J201" s="271">
        <v>110.1</v>
      </c>
      <c r="K201" s="271"/>
      <c r="L201" s="271">
        <v>110.1</v>
      </c>
    </row>
    <row r="202" spans="1:14" s="1" customFormat="1" ht="93" x14ac:dyDescent="0.3">
      <c r="A202" s="7" t="s">
        <v>278</v>
      </c>
      <c r="B202" s="7"/>
      <c r="C202" s="81" t="s">
        <v>277</v>
      </c>
      <c r="D202" s="271">
        <f>D203</f>
        <v>0</v>
      </c>
      <c r="E202" s="271"/>
      <c r="F202" s="271">
        <f>F203</f>
        <v>0</v>
      </c>
      <c r="G202" s="271">
        <f>G203</f>
        <v>7431.1</v>
      </c>
      <c r="H202" s="345"/>
      <c r="I202" s="271">
        <f>I203</f>
        <v>7431.1</v>
      </c>
      <c r="J202" s="271">
        <f>J203</f>
        <v>7431.1</v>
      </c>
      <c r="K202" s="271"/>
      <c r="L202" s="271">
        <f>L203</f>
        <v>7431.1</v>
      </c>
    </row>
    <row r="203" spans="1:14" s="1" customFormat="1" ht="40.200000000000003" x14ac:dyDescent="0.3">
      <c r="A203" s="7"/>
      <c r="B203" s="75" t="s">
        <v>276</v>
      </c>
      <c r="C203" s="6" t="s">
        <v>275</v>
      </c>
      <c r="D203" s="271">
        <v>0</v>
      </c>
      <c r="E203" s="271"/>
      <c r="F203" s="271">
        <v>0</v>
      </c>
      <c r="G203" s="271">
        <v>7431.1</v>
      </c>
      <c r="H203" s="345"/>
      <c r="I203" s="271">
        <v>7431.1</v>
      </c>
      <c r="J203" s="271">
        <v>7431.1</v>
      </c>
      <c r="K203" s="271"/>
      <c r="L203" s="271">
        <v>7431.1</v>
      </c>
    </row>
    <row r="204" spans="1:14" s="1" customFormat="1" ht="66.599999999999994" x14ac:dyDescent="0.3">
      <c r="A204" s="7" t="s">
        <v>566</v>
      </c>
      <c r="B204" s="7"/>
      <c r="C204" s="6" t="s">
        <v>565</v>
      </c>
      <c r="D204" s="271">
        <f>D205+D206</f>
        <v>92.199999999999989</v>
      </c>
      <c r="E204" s="271"/>
      <c r="F204" s="271">
        <f>F205+F206</f>
        <v>92.199999999999989</v>
      </c>
      <c r="G204" s="271">
        <f>G205+G206</f>
        <v>94.9</v>
      </c>
      <c r="H204" s="345"/>
      <c r="I204" s="271">
        <f>I205+I206</f>
        <v>94.9</v>
      </c>
      <c r="J204" s="271">
        <f>J205+J206</f>
        <v>94.9</v>
      </c>
      <c r="K204" s="271"/>
      <c r="L204" s="271">
        <f>L205+L206</f>
        <v>94.9</v>
      </c>
    </row>
    <row r="205" spans="1:14" s="1" customFormat="1" ht="66.599999999999994" x14ac:dyDescent="0.3">
      <c r="A205" s="7"/>
      <c r="B205" s="7" t="s">
        <v>2</v>
      </c>
      <c r="C205" s="6" t="s">
        <v>1</v>
      </c>
      <c r="D205" s="271">
        <v>59.8</v>
      </c>
      <c r="E205" s="271"/>
      <c r="F205" s="271">
        <v>59.8</v>
      </c>
      <c r="G205" s="278">
        <v>62.1</v>
      </c>
      <c r="H205" s="356"/>
      <c r="I205" s="278">
        <v>62.1</v>
      </c>
      <c r="J205" s="271">
        <v>62.1</v>
      </c>
      <c r="K205" s="271"/>
      <c r="L205" s="271">
        <v>62.1</v>
      </c>
    </row>
    <row r="206" spans="1:14" s="1" customFormat="1" ht="27" x14ac:dyDescent="0.3">
      <c r="A206" s="7"/>
      <c r="B206" s="7" t="s">
        <v>12</v>
      </c>
      <c r="C206" s="6" t="s">
        <v>11</v>
      </c>
      <c r="D206" s="271">
        <v>32.4</v>
      </c>
      <c r="E206" s="271"/>
      <c r="F206" s="271">
        <v>32.4</v>
      </c>
      <c r="G206" s="278">
        <v>32.799999999999997</v>
      </c>
      <c r="H206" s="356"/>
      <c r="I206" s="278">
        <v>32.799999999999997</v>
      </c>
      <c r="J206" s="271">
        <v>32.799999999999997</v>
      </c>
      <c r="K206" s="271"/>
      <c r="L206" s="271">
        <v>32.799999999999997</v>
      </c>
    </row>
    <row r="207" spans="1:14" s="1" customFormat="1" ht="40.200000000000003" x14ac:dyDescent="0.3">
      <c r="A207" s="223" t="s">
        <v>628</v>
      </c>
      <c r="B207" s="223"/>
      <c r="C207" s="224" t="s">
        <v>629</v>
      </c>
      <c r="D207" s="270">
        <f>D208</f>
        <v>0</v>
      </c>
      <c r="E207" s="270"/>
      <c r="F207" s="270">
        <f>F208</f>
        <v>0</v>
      </c>
      <c r="G207" s="270">
        <f>G208</f>
        <v>2.24472</v>
      </c>
      <c r="H207" s="350"/>
      <c r="I207" s="270">
        <f>I208</f>
        <v>2.24472</v>
      </c>
      <c r="J207" s="270">
        <f>J208+J211+J213</f>
        <v>0</v>
      </c>
      <c r="K207" s="270"/>
      <c r="L207" s="270">
        <f>L208+L211+L213</f>
        <v>0</v>
      </c>
    </row>
    <row r="208" spans="1:14" s="1" customFormat="1" ht="40.200000000000003" x14ac:dyDescent="0.3">
      <c r="A208" s="7" t="s">
        <v>626</v>
      </c>
      <c r="B208" s="7"/>
      <c r="C208" s="6" t="s">
        <v>627</v>
      </c>
      <c r="D208" s="271">
        <f>D209</f>
        <v>0</v>
      </c>
      <c r="E208" s="271"/>
      <c r="F208" s="271">
        <f>F209</f>
        <v>0</v>
      </c>
      <c r="G208" s="271">
        <f>G209</f>
        <v>2.24472</v>
      </c>
      <c r="H208" s="345"/>
      <c r="I208" s="271">
        <f>I209</f>
        <v>2.24472</v>
      </c>
      <c r="J208" s="271">
        <v>0</v>
      </c>
      <c r="K208" s="271"/>
      <c r="L208" s="271">
        <v>0</v>
      </c>
    </row>
    <row r="209" spans="1:12" s="1" customFormat="1" ht="40.200000000000003" x14ac:dyDescent="0.3">
      <c r="A209" s="7"/>
      <c r="B209" s="7" t="s">
        <v>276</v>
      </c>
      <c r="C209" s="6" t="s">
        <v>275</v>
      </c>
      <c r="D209" s="271">
        <f>D210+D211+D212+D213</f>
        <v>0</v>
      </c>
      <c r="E209" s="271"/>
      <c r="F209" s="271">
        <f>F210+F211+F212+F213</f>
        <v>0</v>
      </c>
      <c r="G209" s="271">
        <f>G210+G211+G212+G213</f>
        <v>2.24472</v>
      </c>
      <c r="H209" s="345"/>
      <c r="I209" s="271">
        <f>I210+I211+I212+I213</f>
        <v>2.24472</v>
      </c>
      <c r="J209" s="271">
        <v>0</v>
      </c>
      <c r="K209" s="271"/>
      <c r="L209" s="271">
        <v>0</v>
      </c>
    </row>
    <row r="210" spans="1:12" s="1" customFormat="1" ht="14.4" x14ac:dyDescent="0.3">
      <c r="A210" s="7"/>
      <c r="B210" s="7"/>
      <c r="C210" s="6" t="s">
        <v>345</v>
      </c>
      <c r="D210" s="271">
        <v>0</v>
      </c>
      <c r="E210" s="271"/>
      <c r="F210" s="271">
        <v>0</v>
      </c>
      <c r="G210" s="271">
        <v>0</v>
      </c>
      <c r="H210" s="345"/>
      <c r="I210" s="271">
        <v>0</v>
      </c>
      <c r="J210" s="271">
        <v>0</v>
      </c>
      <c r="K210" s="271"/>
      <c r="L210" s="271">
        <v>0</v>
      </c>
    </row>
    <row r="211" spans="1:12" s="1" customFormat="1" ht="14.4" x14ac:dyDescent="0.3">
      <c r="A211" s="7"/>
      <c r="B211" s="7"/>
      <c r="C211" s="102" t="s">
        <v>339</v>
      </c>
      <c r="D211" s="271">
        <v>0</v>
      </c>
      <c r="E211" s="271"/>
      <c r="F211" s="271">
        <v>0</v>
      </c>
      <c r="G211" s="271">
        <v>0</v>
      </c>
      <c r="H211" s="345"/>
      <c r="I211" s="271">
        <v>0</v>
      </c>
      <c r="J211" s="271">
        <v>0</v>
      </c>
      <c r="K211" s="271"/>
      <c r="L211" s="271">
        <v>0</v>
      </c>
    </row>
    <row r="212" spans="1:12" s="1" customFormat="1" ht="14.4" x14ac:dyDescent="0.3">
      <c r="A212" s="7"/>
      <c r="B212" s="7"/>
      <c r="C212" s="102" t="s">
        <v>332</v>
      </c>
      <c r="D212" s="271">
        <v>0</v>
      </c>
      <c r="E212" s="271"/>
      <c r="F212" s="271">
        <v>0</v>
      </c>
      <c r="G212" s="271">
        <v>2.24472</v>
      </c>
      <c r="H212" s="345"/>
      <c r="I212" s="271">
        <v>2.24472</v>
      </c>
      <c r="J212" s="271">
        <v>0</v>
      </c>
      <c r="K212" s="271"/>
      <c r="L212" s="271">
        <v>0</v>
      </c>
    </row>
    <row r="213" spans="1:12" s="1" customFormat="1" ht="14.4" x14ac:dyDescent="0.3">
      <c r="A213" s="7"/>
      <c r="B213" s="7"/>
      <c r="C213" s="102" t="s">
        <v>625</v>
      </c>
      <c r="D213" s="271">
        <v>0</v>
      </c>
      <c r="E213" s="271"/>
      <c r="F213" s="271">
        <v>0</v>
      </c>
      <c r="G213" s="271">
        <v>0</v>
      </c>
      <c r="H213" s="345"/>
      <c r="I213" s="271">
        <v>0</v>
      </c>
      <c r="J213" s="271">
        <v>0</v>
      </c>
      <c r="K213" s="271"/>
      <c r="L213" s="271">
        <v>0</v>
      </c>
    </row>
    <row r="214" spans="1:12" s="110" customFormat="1" ht="40.200000000000003" x14ac:dyDescent="0.3">
      <c r="A214" s="242" t="s">
        <v>289</v>
      </c>
      <c r="B214" s="242"/>
      <c r="C214" s="245" t="s">
        <v>288</v>
      </c>
      <c r="D214" s="268">
        <f>D215+D231</f>
        <v>12059.79725</v>
      </c>
      <c r="E214" s="268"/>
      <c r="F214" s="268">
        <f>F215+F231</f>
        <v>12059.79725</v>
      </c>
      <c r="G214" s="268">
        <f>G215+G231</f>
        <v>7437.1163399999996</v>
      </c>
      <c r="H214" s="348"/>
      <c r="I214" s="268">
        <f>I215+I231</f>
        <v>7437.1163399999996</v>
      </c>
      <c r="J214" s="268">
        <f>J215+J231</f>
        <v>5896.3352000000014</v>
      </c>
      <c r="K214" s="268"/>
      <c r="L214" s="268">
        <f>L215+L231</f>
        <v>5896.3352000000014</v>
      </c>
    </row>
    <row r="215" spans="1:12" s="1" customFormat="1" ht="53.4" x14ac:dyDescent="0.3">
      <c r="A215" s="223" t="s">
        <v>287</v>
      </c>
      <c r="B215" s="223"/>
      <c r="C215" s="224" t="s">
        <v>286</v>
      </c>
      <c r="D215" s="270">
        <f>D216+D218+D220+D223+D227+D225</f>
        <v>7416.5972500000007</v>
      </c>
      <c r="E215" s="270"/>
      <c r="F215" s="270">
        <f>F216+F218+F220+F223+F227+F225</f>
        <v>7416.5972500000007</v>
      </c>
      <c r="G215" s="270">
        <f>G216+G218+G220+G223+G227+G225</f>
        <v>7437.1163399999996</v>
      </c>
      <c r="H215" s="350"/>
      <c r="I215" s="270">
        <f>I216+I218+I220+I223+I227+I225</f>
        <v>7437.1163399999996</v>
      </c>
      <c r="J215" s="270">
        <f>J216+J218+J220+J223+J227+J225</f>
        <v>5896.3352000000014</v>
      </c>
      <c r="K215" s="270"/>
      <c r="L215" s="270">
        <f>L216+L218+L220+L223+L227+L225</f>
        <v>5896.3352000000014</v>
      </c>
    </row>
    <row r="216" spans="1:12" s="1" customFormat="1" ht="53.4" x14ac:dyDescent="0.3">
      <c r="A216" s="7" t="s">
        <v>417</v>
      </c>
      <c r="B216" s="7"/>
      <c r="C216" s="6" t="s">
        <v>736</v>
      </c>
      <c r="D216" s="271">
        <f>D217</f>
        <v>1323.7</v>
      </c>
      <c r="E216" s="271"/>
      <c r="F216" s="271">
        <f>F217</f>
        <v>1323.7</v>
      </c>
      <c r="G216" s="271">
        <f>G217</f>
        <v>1323.7</v>
      </c>
      <c r="H216" s="345"/>
      <c r="I216" s="271">
        <f>I217</f>
        <v>1323.7</v>
      </c>
      <c r="J216" s="271">
        <f>J217</f>
        <v>1323.7</v>
      </c>
      <c r="K216" s="271"/>
      <c r="L216" s="271">
        <f>L217</f>
        <v>1323.7</v>
      </c>
    </row>
    <row r="217" spans="1:12" s="1" customFormat="1" ht="27" x14ac:dyDescent="0.3">
      <c r="A217" s="7"/>
      <c r="B217" s="7" t="s">
        <v>12</v>
      </c>
      <c r="C217" s="6" t="s">
        <v>11</v>
      </c>
      <c r="D217" s="271">
        <v>1323.7</v>
      </c>
      <c r="E217" s="271"/>
      <c r="F217" s="271">
        <v>1323.7</v>
      </c>
      <c r="G217" s="271">
        <v>1323.7</v>
      </c>
      <c r="H217" s="345"/>
      <c r="I217" s="271">
        <v>1323.7</v>
      </c>
      <c r="J217" s="271">
        <v>1323.7</v>
      </c>
      <c r="K217" s="271"/>
      <c r="L217" s="271">
        <v>1323.7</v>
      </c>
    </row>
    <row r="218" spans="1:12" s="1" customFormat="1" ht="53.4" x14ac:dyDescent="0.3">
      <c r="A218" s="7" t="s">
        <v>384</v>
      </c>
      <c r="B218" s="7"/>
      <c r="C218" s="82" t="s">
        <v>383</v>
      </c>
      <c r="D218" s="271">
        <f>D219</f>
        <v>110.6</v>
      </c>
      <c r="E218" s="271"/>
      <c r="F218" s="271">
        <f>F219</f>
        <v>110.6</v>
      </c>
      <c r="G218" s="271">
        <f>G219</f>
        <v>110.6</v>
      </c>
      <c r="H218" s="345"/>
      <c r="I218" s="271">
        <f>I219</f>
        <v>110.6</v>
      </c>
      <c r="J218" s="271">
        <f>J219</f>
        <v>110.6</v>
      </c>
      <c r="K218" s="271"/>
      <c r="L218" s="271">
        <f>L219</f>
        <v>110.6</v>
      </c>
    </row>
    <row r="219" spans="1:12" s="1" customFormat="1" ht="27" x14ac:dyDescent="0.3">
      <c r="A219" s="7"/>
      <c r="B219" s="7" t="s">
        <v>12</v>
      </c>
      <c r="C219" s="6" t="s">
        <v>11</v>
      </c>
      <c r="D219" s="271">
        <v>110.6</v>
      </c>
      <c r="E219" s="271"/>
      <c r="F219" s="271">
        <v>110.6</v>
      </c>
      <c r="G219" s="271">
        <v>110.6</v>
      </c>
      <c r="H219" s="345"/>
      <c r="I219" s="271">
        <v>110.6</v>
      </c>
      <c r="J219" s="271">
        <v>110.6</v>
      </c>
      <c r="K219" s="271"/>
      <c r="L219" s="271">
        <v>110.6</v>
      </c>
    </row>
    <row r="220" spans="1:12" s="1" customFormat="1" ht="40.200000000000003" x14ac:dyDescent="0.3">
      <c r="A220" s="7" t="s">
        <v>285</v>
      </c>
      <c r="B220" s="7"/>
      <c r="C220" s="82" t="s">
        <v>284</v>
      </c>
      <c r="D220" s="271">
        <f>D221+D222</f>
        <v>3790.3</v>
      </c>
      <c r="E220" s="271"/>
      <c r="F220" s="271">
        <f>F221+F222</f>
        <v>3790.3</v>
      </c>
      <c r="G220" s="271">
        <f>G221+G222</f>
        <v>1421.9</v>
      </c>
      <c r="H220" s="345"/>
      <c r="I220" s="271">
        <f>I221+I222</f>
        <v>1421.9</v>
      </c>
      <c r="J220" s="271">
        <f>J221+J222</f>
        <v>3790.3</v>
      </c>
      <c r="K220" s="271"/>
      <c r="L220" s="271">
        <f>L221+L222</f>
        <v>3790.3</v>
      </c>
    </row>
    <row r="221" spans="1:12" s="1" customFormat="1" ht="27" x14ac:dyDescent="0.3">
      <c r="A221" s="7"/>
      <c r="B221" s="7" t="s">
        <v>12</v>
      </c>
      <c r="C221" s="6" t="s">
        <v>11</v>
      </c>
      <c r="D221" s="271">
        <v>2368.4</v>
      </c>
      <c r="E221" s="271"/>
      <c r="F221" s="271">
        <v>2368.4</v>
      </c>
      <c r="G221" s="271">
        <f>2368.4-2368.4</f>
        <v>0</v>
      </c>
      <c r="H221" s="345"/>
      <c r="I221" s="271">
        <f>2368.4-2368.4</f>
        <v>0</v>
      </c>
      <c r="J221" s="271">
        <v>2368.4</v>
      </c>
      <c r="K221" s="271"/>
      <c r="L221" s="271">
        <v>2368.4</v>
      </c>
    </row>
    <row r="222" spans="1:12" s="1" customFormat="1" ht="14.4" x14ac:dyDescent="0.3">
      <c r="A222" s="7"/>
      <c r="B222" s="7" t="s">
        <v>79</v>
      </c>
      <c r="C222" s="6" t="s">
        <v>78</v>
      </c>
      <c r="D222" s="271">
        <v>1421.9</v>
      </c>
      <c r="E222" s="271"/>
      <c r="F222" s="271">
        <v>1421.9</v>
      </c>
      <c r="G222" s="271">
        <v>1421.9</v>
      </c>
      <c r="H222" s="345"/>
      <c r="I222" s="271">
        <v>1421.9</v>
      </c>
      <c r="J222" s="271">
        <v>1421.9</v>
      </c>
      <c r="K222" s="271"/>
      <c r="L222" s="271">
        <v>1421.9</v>
      </c>
    </row>
    <row r="223" spans="1:12" s="1" customFormat="1" ht="27" x14ac:dyDescent="0.3">
      <c r="A223" s="7" t="s">
        <v>382</v>
      </c>
      <c r="B223" s="7"/>
      <c r="C223" s="6" t="s">
        <v>381</v>
      </c>
      <c r="D223" s="271">
        <f>D224</f>
        <v>35.299999999999997</v>
      </c>
      <c r="E223" s="271"/>
      <c r="F223" s="271">
        <f>F224</f>
        <v>35.299999999999997</v>
      </c>
      <c r="G223" s="271">
        <f>G224</f>
        <v>35.299999999999997</v>
      </c>
      <c r="H223" s="345"/>
      <c r="I223" s="271">
        <f>I224</f>
        <v>35.299999999999997</v>
      </c>
      <c r="J223" s="271">
        <f>J224</f>
        <v>35.299999999999997</v>
      </c>
      <c r="K223" s="271"/>
      <c r="L223" s="271">
        <f>L224</f>
        <v>35.299999999999997</v>
      </c>
    </row>
    <row r="224" spans="1:12" s="1" customFormat="1" ht="27" x14ac:dyDescent="0.3">
      <c r="A224" s="7"/>
      <c r="B224" s="7" t="s">
        <v>12</v>
      </c>
      <c r="C224" s="6" t="s">
        <v>11</v>
      </c>
      <c r="D224" s="271">
        <v>35.299999999999997</v>
      </c>
      <c r="E224" s="271"/>
      <c r="F224" s="271">
        <v>35.299999999999997</v>
      </c>
      <c r="G224" s="271">
        <v>35.299999999999997</v>
      </c>
      <c r="H224" s="345"/>
      <c r="I224" s="271">
        <v>35.299999999999997</v>
      </c>
      <c r="J224" s="271">
        <v>35.299999999999997</v>
      </c>
      <c r="K224" s="271"/>
      <c r="L224" s="271">
        <v>35.299999999999997</v>
      </c>
    </row>
    <row r="225" spans="1:14" s="1" customFormat="1" ht="53.4" x14ac:dyDescent="0.3">
      <c r="A225" s="7" t="s">
        <v>598</v>
      </c>
      <c r="B225" s="7"/>
      <c r="C225" s="6" t="s">
        <v>738</v>
      </c>
      <c r="D225" s="271">
        <f>D226</f>
        <v>489.6</v>
      </c>
      <c r="E225" s="271"/>
      <c r="F225" s="271">
        <f>F226</f>
        <v>489.6</v>
      </c>
      <c r="G225" s="271">
        <f>G226</f>
        <v>0</v>
      </c>
      <c r="H225" s="345"/>
      <c r="I225" s="271">
        <f>I226</f>
        <v>0</v>
      </c>
      <c r="J225" s="271">
        <f>J226</f>
        <v>489.6</v>
      </c>
      <c r="K225" s="271"/>
      <c r="L225" s="271">
        <f>L226</f>
        <v>489.6</v>
      </c>
    </row>
    <row r="226" spans="1:14" s="1" customFormat="1" ht="27" x14ac:dyDescent="0.3">
      <c r="A226" s="7"/>
      <c r="B226" s="7" t="s">
        <v>12</v>
      </c>
      <c r="C226" s="6" t="s">
        <v>11</v>
      </c>
      <c r="D226" s="271">
        <v>489.6</v>
      </c>
      <c r="E226" s="271"/>
      <c r="F226" s="271">
        <v>489.6</v>
      </c>
      <c r="G226" s="271">
        <f>489.6-489.6</f>
        <v>0</v>
      </c>
      <c r="H226" s="345"/>
      <c r="I226" s="271">
        <f>489.6-489.6</f>
        <v>0</v>
      </c>
      <c r="J226" s="271">
        <v>489.6</v>
      </c>
      <c r="K226" s="271"/>
      <c r="L226" s="271">
        <v>489.6</v>
      </c>
    </row>
    <row r="227" spans="1:14" s="1" customFormat="1" ht="53.4" x14ac:dyDescent="0.3">
      <c r="A227" s="7" t="s">
        <v>380</v>
      </c>
      <c r="B227" s="7"/>
      <c r="C227" s="6" t="s">
        <v>737</v>
      </c>
      <c r="D227" s="271">
        <f>D228</f>
        <v>1667.09725</v>
      </c>
      <c r="E227" s="271"/>
      <c r="F227" s="271">
        <f>F228</f>
        <v>1667.09725</v>
      </c>
      <c r="G227" s="271">
        <f>G228</f>
        <v>4545.6163399999996</v>
      </c>
      <c r="H227" s="345"/>
      <c r="I227" s="271">
        <f>I228</f>
        <v>4545.6163399999996</v>
      </c>
      <c r="J227" s="271">
        <f>J228</f>
        <v>146.83519999999999</v>
      </c>
      <c r="K227" s="271"/>
      <c r="L227" s="271">
        <f>L228</f>
        <v>146.83519999999999</v>
      </c>
    </row>
    <row r="228" spans="1:14" s="1" customFormat="1" ht="27" x14ac:dyDescent="0.3">
      <c r="A228" s="7"/>
      <c r="B228" s="7" t="s">
        <v>12</v>
      </c>
      <c r="C228" s="6" t="s">
        <v>11</v>
      </c>
      <c r="D228" s="271">
        <f>D229+D230</f>
        <v>1667.09725</v>
      </c>
      <c r="E228" s="271"/>
      <c r="F228" s="271">
        <f>F229+F230</f>
        <v>1667.09725</v>
      </c>
      <c r="G228" s="271">
        <f>G229+G230</f>
        <v>4545.6163399999996</v>
      </c>
      <c r="H228" s="345"/>
      <c r="I228" s="271">
        <f>I229+I230</f>
        <v>4545.6163399999996</v>
      </c>
      <c r="J228" s="271">
        <f>J229+J230</f>
        <v>146.83519999999999</v>
      </c>
      <c r="K228" s="271"/>
      <c r="L228" s="271">
        <f>L229+L230</f>
        <v>146.83519999999999</v>
      </c>
    </row>
    <row r="229" spans="1:14" s="1" customFormat="1" ht="14.4" x14ac:dyDescent="0.3">
      <c r="A229" s="7"/>
      <c r="B229" s="7"/>
      <c r="C229" s="6" t="s">
        <v>114</v>
      </c>
      <c r="D229" s="271">
        <v>1634.0559000000001</v>
      </c>
      <c r="E229" s="271"/>
      <c r="F229" s="271">
        <v>1634.0559000000001</v>
      </c>
      <c r="G229" s="271">
        <v>4454.7039999999997</v>
      </c>
      <c r="H229" s="345"/>
      <c r="I229" s="271">
        <v>4454.7039999999997</v>
      </c>
      <c r="J229" s="271">
        <v>0</v>
      </c>
      <c r="K229" s="271"/>
      <c r="L229" s="271">
        <v>0</v>
      </c>
    </row>
    <row r="230" spans="1:14" s="1" customFormat="1" ht="14.4" x14ac:dyDescent="0.3">
      <c r="A230" s="7"/>
      <c r="B230" s="7"/>
      <c r="C230" s="6" t="s">
        <v>106</v>
      </c>
      <c r="D230" s="271">
        <v>33.041350000000001</v>
      </c>
      <c r="E230" s="271"/>
      <c r="F230" s="271">
        <v>33.041350000000001</v>
      </c>
      <c r="G230" s="271">
        <v>90.91234</v>
      </c>
      <c r="H230" s="345"/>
      <c r="I230" s="271">
        <v>90.91234</v>
      </c>
      <c r="J230" s="271">
        <v>146.83519999999999</v>
      </c>
      <c r="K230" s="271"/>
      <c r="L230" s="271">
        <v>146.83519999999999</v>
      </c>
    </row>
    <row r="231" spans="1:14" s="1" customFormat="1" ht="40.200000000000003" x14ac:dyDescent="0.3">
      <c r="A231" s="223" t="s">
        <v>416</v>
      </c>
      <c r="B231" s="223"/>
      <c r="C231" s="224" t="s">
        <v>415</v>
      </c>
      <c r="D231" s="270">
        <f t="shared" ref="D231:L232" si="25">D232</f>
        <v>4643.2</v>
      </c>
      <c r="E231" s="270"/>
      <c r="F231" s="270">
        <f t="shared" si="25"/>
        <v>4643.2</v>
      </c>
      <c r="G231" s="270">
        <f t="shared" si="25"/>
        <v>0</v>
      </c>
      <c r="H231" s="350"/>
      <c r="I231" s="270">
        <f t="shared" si="25"/>
        <v>0</v>
      </c>
      <c r="J231" s="270">
        <f t="shared" si="25"/>
        <v>0</v>
      </c>
      <c r="K231" s="270"/>
      <c r="L231" s="270">
        <f t="shared" si="25"/>
        <v>0</v>
      </c>
    </row>
    <row r="232" spans="1:14" s="1" customFormat="1" ht="27" x14ac:dyDescent="0.3">
      <c r="A232" s="7" t="s">
        <v>414</v>
      </c>
      <c r="B232" s="7"/>
      <c r="C232" s="82" t="s">
        <v>645</v>
      </c>
      <c r="D232" s="271">
        <f t="shared" si="25"/>
        <v>4643.2</v>
      </c>
      <c r="E232" s="271"/>
      <c r="F232" s="271">
        <f t="shared" si="25"/>
        <v>4643.2</v>
      </c>
      <c r="G232" s="271">
        <f t="shared" si="25"/>
        <v>0</v>
      </c>
      <c r="H232" s="345"/>
      <c r="I232" s="271">
        <f t="shared" si="25"/>
        <v>0</v>
      </c>
      <c r="J232" s="271">
        <f t="shared" si="25"/>
        <v>0</v>
      </c>
      <c r="K232" s="271"/>
      <c r="L232" s="271">
        <f t="shared" si="25"/>
        <v>0</v>
      </c>
    </row>
    <row r="233" spans="1:14" s="1" customFormat="1" ht="40.200000000000003" x14ac:dyDescent="0.3">
      <c r="A233" s="7"/>
      <c r="B233" s="75" t="s">
        <v>276</v>
      </c>
      <c r="C233" s="6" t="s">
        <v>275</v>
      </c>
      <c r="D233" s="271">
        <v>4643.2</v>
      </c>
      <c r="E233" s="271"/>
      <c r="F233" s="271">
        <v>4643.2</v>
      </c>
      <c r="G233" s="271">
        <v>0</v>
      </c>
      <c r="H233" s="345"/>
      <c r="I233" s="271">
        <v>0</v>
      </c>
      <c r="J233" s="271">
        <v>0</v>
      </c>
      <c r="K233" s="271"/>
      <c r="L233" s="271">
        <v>0</v>
      </c>
    </row>
    <row r="234" spans="1:14" ht="52.8" x14ac:dyDescent="0.25">
      <c r="A234" s="242" t="s">
        <v>65</v>
      </c>
      <c r="B234" s="242"/>
      <c r="C234" s="245" t="s">
        <v>64</v>
      </c>
      <c r="D234" s="268">
        <f>D235+D290+D298</f>
        <v>168706.98882</v>
      </c>
      <c r="E234" s="268">
        <f>E235+E290+E298</f>
        <v>1373.242109999992</v>
      </c>
      <c r="F234" s="268">
        <f>F235+F290+F298</f>
        <v>170080.23093000002</v>
      </c>
      <c r="G234" s="268">
        <f>G235+G290+G298</f>
        <v>94211.557889999996</v>
      </c>
      <c r="H234" s="348"/>
      <c r="I234" s="268">
        <f>I235+I290+I298</f>
        <v>94211.557889999996</v>
      </c>
      <c r="J234" s="268">
        <f>J235+J290+J298</f>
        <v>96369.7</v>
      </c>
      <c r="K234" s="268"/>
      <c r="L234" s="268">
        <f>L235+L290+L298</f>
        <v>96369.7</v>
      </c>
      <c r="M234" s="291">
        <f>M235+M236</f>
        <v>96369.7</v>
      </c>
    </row>
    <row r="235" spans="1:14" ht="39.6" x14ac:dyDescent="0.25">
      <c r="A235" s="31" t="s">
        <v>101</v>
      </c>
      <c r="B235" s="31"/>
      <c r="C235" s="52" t="s">
        <v>100</v>
      </c>
      <c r="D235" s="269">
        <f>D236+D239+D244+D247+D250+D261+D264+D283</f>
        <v>167298.88881999999</v>
      </c>
      <c r="E235" s="269">
        <f>E236+E239+E244+E247+E250+E261+E264+E283+E277</f>
        <v>1440.242109999992</v>
      </c>
      <c r="F235" s="269">
        <f>F236+F239+F244+F247+F250+F261+F264+F283+F277</f>
        <v>168739.13093000001</v>
      </c>
      <c r="G235" s="269">
        <f>G236+G239+G244+G247+G250+G261+G264+G283</f>
        <v>93101.957889999991</v>
      </c>
      <c r="H235" s="349"/>
      <c r="I235" s="269">
        <f>I236+I239+I244+I247+I250+I261+I264+I283</f>
        <v>93101.957889999991</v>
      </c>
      <c r="J235" s="269">
        <f>J236+J239+J244+J247+J250+J261+J264+J283</f>
        <v>94961.599999999991</v>
      </c>
      <c r="K235" s="269"/>
      <c r="L235" s="269">
        <f>L236+L239+L244+L247+L250+L261+L264+L283</f>
        <v>94961.599999999991</v>
      </c>
      <c r="M235" s="291">
        <f>J237+J240+J242+J245+J248+J251+J253+J255+J262+J269+J270+J274+J275+J286+J289+J292+J297+J300</f>
        <v>96369.7</v>
      </c>
      <c r="N235" s="144" t="s">
        <v>635</v>
      </c>
    </row>
    <row r="236" spans="1:14" ht="66" x14ac:dyDescent="0.25">
      <c r="A236" s="223" t="s">
        <v>132</v>
      </c>
      <c r="B236" s="223"/>
      <c r="C236" s="224" t="s">
        <v>131</v>
      </c>
      <c r="D236" s="270">
        <f t="shared" ref="D236:L237" si="26">D237</f>
        <v>48475.8</v>
      </c>
      <c r="E236" s="270"/>
      <c r="F236" s="270">
        <f t="shared" si="26"/>
        <v>48475.8</v>
      </c>
      <c r="G236" s="270">
        <f t="shared" si="26"/>
        <v>48475.8</v>
      </c>
      <c r="H236" s="350"/>
      <c r="I236" s="270">
        <f t="shared" si="26"/>
        <v>48475.8</v>
      </c>
      <c r="J236" s="270">
        <f t="shared" si="26"/>
        <v>48475.8</v>
      </c>
      <c r="K236" s="270"/>
      <c r="L236" s="270">
        <f t="shared" si="26"/>
        <v>48475.8</v>
      </c>
      <c r="M236" s="291">
        <f>J268</f>
        <v>0</v>
      </c>
      <c r="N236" s="144" t="s">
        <v>634</v>
      </c>
    </row>
    <row r="237" spans="1:14" ht="26.4" x14ac:dyDescent="0.25">
      <c r="A237" s="7" t="s">
        <v>130</v>
      </c>
      <c r="B237" s="7"/>
      <c r="C237" s="64" t="s">
        <v>129</v>
      </c>
      <c r="D237" s="271">
        <f t="shared" si="26"/>
        <v>48475.8</v>
      </c>
      <c r="E237" s="271"/>
      <c r="F237" s="271">
        <f t="shared" si="26"/>
        <v>48475.8</v>
      </c>
      <c r="G237" s="271">
        <f t="shared" si="26"/>
        <v>48475.8</v>
      </c>
      <c r="H237" s="345"/>
      <c r="I237" s="271">
        <f t="shared" si="26"/>
        <v>48475.8</v>
      </c>
      <c r="J237" s="271">
        <f t="shared" si="26"/>
        <v>48475.8</v>
      </c>
      <c r="K237" s="271"/>
      <c r="L237" s="271">
        <f t="shared" si="26"/>
        <v>48475.8</v>
      </c>
    </row>
    <row r="238" spans="1:14" ht="26.4" x14ac:dyDescent="0.25">
      <c r="A238" s="7"/>
      <c r="B238" s="7" t="s">
        <v>57</v>
      </c>
      <c r="C238" s="6" t="s">
        <v>56</v>
      </c>
      <c r="D238" s="271">
        <f>49854.3-1378.5</f>
        <v>48475.8</v>
      </c>
      <c r="E238" s="271"/>
      <c r="F238" s="271">
        <f>49854.3-1378.5</f>
        <v>48475.8</v>
      </c>
      <c r="G238" s="271">
        <f>49854.3-1378.5</f>
        <v>48475.8</v>
      </c>
      <c r="H238" s="345"/>
      <c r="I238" s="271">
        <f>49854.3-1378.5</f>
        <v>48475.8</v>
      </c>
      <c r="J238" s="271">
        <f>49854.3-1378.5</f>
        <v>48475.8</v>
      </c>
      <c r="K238" s="271"/>
      <c r="L238" s="271">
        <f>49854.3-1378.5</f>
        <v>48475.8</v>
      </c>
    </row>
    <row r="239" spans="1:14" ht="26.4" x14ac:dyDescent="0.25">
      <c r="A239" s="223" t="s">
        <v>128</v>
      </c>
      <c r="B239" s="223"/>
      <c r="C239" s="224" t="s">
        <v>127</v>
      </c>
      <c r="D239" s="270">
        <f>D240+D242</f>
        <v>21246</v>
      </c>
      <c r="E239" s="270">
        <f>E240</f>
        <v>1245.9000000000001</v>
      </c>
      <c r="F239" s="270">
        <f>F240+F242</f>
        <v>22491.9</v>
      </c>
      <c r="G239" s="270">
        <f>G240+G242</f>
        <v>20746</v>
      </c>
      <c r="H239" s="350"/>
      <c r="I239" s="270">
        <f>I240+I242</f>
        <v>20746</v>
      </c>
      <c r="J239" s="270">
        <f>J240+J242</f>
        <v>21246</v>
      </c>
      <c r="K239" s="270"/>
      <c r="L239" s="270">
        <f>L240+L242</f>
        <v>21246</v>
      </c>
    </row>
    <row r="240" spans="1:14" ht="26.4" x14ac:dyDescent="0.25">
      <c r="A240" s="7" t="s">
        <v>126</v>
      </c>
      <c r="B240" s="7"/>
      <c r="C240" s="64" t="s">
        <v>125</v>
      </c>
      <c r="D240" s="271">
        <f>D241</f>
        <v>20746</v>
      </c>
      <c r="E240" s="271">
        <f>E241</f>
        <v>1245.9000000000001</v>
      </c>
      <c r="F240" s="271">
        <f>F241</f>
        <v>21991.9</v>
      </c>
      <c r="G240" s="271">
        <f>G241</f>
        <v>20746</v>
      </c>
      <c r="H240" s="345"/>
      <c r="I240" s="271">
        <f>I241</f>
        <v>20746</v>
      </c>
      <c r="J240" s="271">
        <f>J241</f>
        <v>20746</v>
      </c>
      <c r="K240" s="271"/>
      <c r="L240" s="271">
        <f>L241</f>
        <v>20746</v>
      </c>
    </row>
    <row r="241" spans="1:12" ht="26.4" x14ac:dyDescent="0.25">
      <c r="A241" s="7"/>
      <c r="B241" s="7" t="s">
        <v>57</v>
      </c>
      <c r="C241" s="6" t="s">
        <v>56</v>
      </c>
      <c r="D241" s="271">
        <v>20746</v>
      </c>
      <c r="E241" s="271">
        <v>1245.9000000000001</v>
      </c>
      <c r="F241" s="271">
        <f>20746+1245.9</f>
        <v>21991.9</v>
      </c>
      <c r="G241" s="271">
        <v>20746</v>
      </c>
      <c r="H241" s="345"/>
      <c r="I241" s="271">
        <v>20746</v>
      </c>
      <c r="J241" s="271">
        <v>20746</v>
      </c>
      <c r="K241" s="271"/>
      <c r="L241" s="271">
        <v>20746</v>
      </c>
    </row>
    <row r="242" spans="1:12" ht="26.4" x14ac:dyDescent="0.25">
      <c r="A242" s="7" t="s">
        <v>124</v>
      </c>
      <c r="B242" s="7"/>
      <c r="C242" s="64" t="s">
        <v>123</v>
      </c>
      <c r="D242" s="271">
        <f>D243</f>
        <v>500</v>
      </c>
      <c r="E242" s="271"/>
      <c r="F242" s="271">
        <f>F243</f>
        <v>500</v>
      </c>
      <c r="G242" s="271">
        <f>G243</f>
        <v>0</v>
      </c>
      <c r="H242" s="345"/>
      <c r="I242" s="271">
        <f>I243</f>
        <v>0</v>
      </c>
      <c r="J242" s="271">
        <f>J243</f>
        <v>500</v>
      </c>
      <c r="K242" s="271"/>
      <c r="L242" s="271">
        <f>L243</f>
        <v>500</v>
      </c>
    </row>
    <row r="243" spans="1:12" ht="26.4" x14ac:dyDescent="0.25">
      <c r="A243" s="7"/>
      <c r="B243" s="7" t="s">
        <v>57</v>
      </c>
      <c r="C243" s="6" t="s">
        <v>56</v>
      </c>
      <c r="D243" s="271">
        <f>734-234</f>
        <v>500</v>
      </c>
      <c r="E243" s="271"/>
      <c r="F243" s="271">
        <f>734-234</f>
        <v>500</v>
      </c>
      <c r="G243" s="271">
        <f>734-234-500</f>
        <v>0</v>
      </c>
      <c r="H243" s="345"/>
      <c r="I243" s="271">
        <f>734-234-500</f>
        <v>0</v>
      </c>
      <c r="J243" s="271">
        <f>734-234</f>
        <v>500</v>
      </c>
      <c r="K243" s="271"/>
      <c r="L243" s="271">
        <f>734-234</f>
        <v>500</v>
      </c>
    </row>
    <row r="244" spans="1:12" ht="39.6" x14ac:dyDescent="0.25">
      <c r="A244" s="223" t="s">
        <v>122</v>
      </c>
      <c r="B244" s="223"/>
      <c r="C244" s="224" t="s">
        <v>121</v>
      </c>
      <c r="D244" s="270">
        <f t="shared" ref="D244:L245" si="27">D245</f>
        <v>1473.4</v>
      </c>
      <c r="E244" s="270"/>
      <c r="F244" s="270">
        <f t="shared" si="27"/>
        <v>1473.4</v>
      </c>
      <c r="G244" s="270">
        <f t="shared" si="27"/>
        <v>1473.4</v>
      </c>
      <c r="H244" s="350"/>
      <c r="I244" s="270">
        <f t="shared" si="27"/>
        <v>1473.4</v>
      </c>
      <c r="J244" s="270">
        <f t="shared" si="27"/>
        <v>1473.4</v>
      </c>
      <c r="K244" s="270"/>
      <c r="L244" s="270">
        <f t="shared" si="27"/>
        <v>1473.4</v>
      </c>
    </row>
    <row r="245" spans="1:12" ht="26.4" x14ac:dyDescent="0.25">
      <c r="A245" s="7" t="s">
        <v>120</v>
      </c>
      <c r="B245" s="7"/>
      <c r="C245" s="64" t="s">
        <v>119</v>
      </c>
      <c r="D245" s="271">
        <f t="shared" si="27"/>
        <v>1473.4</v>
      </c>
      <c r="E245" s="271"/>
      <c r="F245" s="271">
        <f t="shared" si="27"/>
        <v>1473.4</v>
      </c>
      <c r="G245" s="271">
        <f t="shared" si="27"/>
        <v>1473.4</v>
      </c>
      <c r="H245" s="345"/>
      <c r="I245" s="271">
        <f t="shared" si="27"/>
        <v>1473.4</v>
      </c>
      <c r="J245" s="271">
        <f t="shared" si="27"/>
        <v>1473.4</v>
      </c>
      <c r="K245" s="271"/>
      <c r="L245" s="271">
        <f t="shared" si="27"/>
        <v>1473.4</v>
      </c>
    </row>
    <row r="246" spans="1:12" ht="26.4" x14ac:dyDescent="0.25">
      <c r="A246" s="7"/>
      <c r="B246" s="7" t="s">
        <v>57</v>
      </c>
      <c r="C246" s="6" t="s">
        <v>56</v>
      </c>
      <c r="D246" s="271">
        <v>1473.4</v>
      </c>
      <c r="E246" s="271"/>
      <c r="F246" s="271">
        <v>1473.4</v>
      </c>
      <c r="G246" s="271">
        <v>1473.4</v>
      </c>
      <c r="H246" s="345"/>
      <c r="I246" s="271">
        <v>1473.4</v>
      </c>
      <c r="J246" s="271">
        <v>1473.4</v>
      </c>
      <c r="K246" s="271"/>
      <c r="L246" s="271">
        <v>1473.4</v>
      </c>
    </row>
    <row r="247" spans="1:12" ht="39.6" x14ac:dyDescent="0.25">
      <c r="A247" s="223" t="s">
        <v>158</v>
      </c>
      <c r="B247" s="223"/>
      <c r="C247" s="224" t="s">
        <v>157</v>
      </c>
      <c r="D247" s="270">
        <f t="shared" ref="D247:L248" si="28">D248</f>
        <v>22356.6</v>
      </c>
      <c r="E247" s="270"/>
      <c r="F247" s="270">
        <f t="shared" si="28"/>
        <v>22356.6</v>
      </c>
      <c r="G247" s="270">
        <f t="shared" si="28"/>
        <v>22356.6</v>
      </c>
      <c r="H247" s="350"/>
      <c r="I247" s="270">
        <f t="shared" si="28"/>
        <v>22356.6</v>
      </c>
      <c r="J247" s="270">
        <f t="shared" si="28"/>
        <v>22356.6</v>
      </c>
      <c r="K247" s="270"/>
      <c r="L247" s="270">
        <f t="shared" si="28"/>
        <v>22356.6</v>
      </c>
    </row>
    <row r="248" spans="1:12" ht="26.4" x14ac:dyDescent="0.25">
      <c r="A248" s="7" t="s">
        <v>156</v>
      </c>
      <c r="B248" s="7"/>
      <c r="C248" s="64" t="s">
        <v>155</v>
      </c>
      <c r="D248" s="271">
        <f t="shared" si="28"/>
        <v>22356.6</v>
      </c>
      <c r="E248" s="271"/>
      <c r="F248" s="271">
        <f t="shared" si="28"/>
        <v>22356.6</v>
      </c>
      <c r="G248" s="271">
        <f t="shared" si="28"/>
        <v>22356.6</v>
      </c>
      <c r="H248" s="345"/>
      <c r="I248" s="271">
        <f t="shared" si="28"/>
        <v>22356.6</v>
      </c>
      <c r="J248" s="271">
        <f t="shared" si="28"/>
        <v>22356.6</v>
      </c>
      <c r="K248" s="271"/>
      <c r="L248" s="271">
        <f t="shared" si="28"/>
        <v>22356.6</v>
      </c>
    </row>
    <row r="249" spans="1:12" ht="26.4" x14ac:dyDescent="0.25">
      <c r="A249" s="7"/>
      <c r="B249" s="7" t="s">
        <v>57</v>
      </c>
      <c r="C249" s="6" t="s">
        <v>56</v>
      </c>
      <c r="D249" s="271">
        <v>22356.6</v>
      </c>
      <c r="E249" s="271"/>
      <c r="F249" s="271">
        <v>22356.6</v>
      </c>
      <c r="G249" s="271">
        <v>22356.6</v>
      </c>
      <c r="H249" s="345"/>
      <c r="I249" s="271">
        <v>22356.6</v>
      </c>
      <c r="J249" s="271">
        <v>22356.6</v>
      </c>
      <c r="K249" s="271"/>
      <c r="L249" s="271">
        <v>22356.6</v>
      </c>
    </row>
    <row r="250" spans="1:12" ht="39.6" x14ac:dyDescent="0.25">
      <c r="A250" s="223" t="s">
        <v>99</v>
      </c>
      <c r="B250" s="231"/>
      <c r="C250" s="224" t="s">
        <v>98</v>
      </c>
      <c r="D250" s="270">
        <f>D251+D253+D255</f>
        <v>2119.8000000000002</v>
      </c>
      <c r="E250" s="270">
        <f>E251+E253+E255+E258</f>
        <v>194.5</v>
      </c>
      <c r="F250" s="270">
        <f>F251+F253+F255+F258</f>
        <v>2314.3000000000002</v>
      </c>
      <c r="G250" s="270">
        <f>G251+G253+G255</f>
        <v>0</v>
      </c>
      <c r="H250" s="350"/>
      <c r="I250" s="270">
        <f>I251+I253+I255</f>
        <v>0</v>
      </c>
      <c r="J250" s="270">
        <f>J251+J253+J255</f>
        <v>1359.8</v>
      </c>
      <c r="K250" s="270"/>
      <c r="L250" s="270">
        <f>L251+L253+L255</f>
        <v>1359.8</v>
      </c>
    </row>
    <row r="251" spans="1:12" ht="79.2" x14ac:dyDescent="0.25">
      <c r="A251" s="7" t="s">
        <v>97</v>
      </c>
      <c r="B251" s="7"/>
      <c r="C251" s="6" t="s">
        <v>646</v>
      </c>
      <c r="D251" s="271">
        <f>D252</f>
        <v>769.8</v>
      </c>
      <c r="E251" s="271">
        <f>E252</f>
        <v>-100</v>
      </c>
      <c r="F251" s="271">
        <f>F252</f>
        <v>669.8</v>
      </c>
      <c r="G251" s="271">
        <f>G252</f>
        <v>0</v>
      </c>
      <c r="H251" s="345"/>
      <c r="I251" s="271">
        <f>I252</f>
        <v>0</v>
      </c>
      <c r="J251" s="271">
        <f>J252</f>
        <v>769.8</v>
      </c>
      <c r="K251" s="271"/>
      <c r="L251" s="271">
        <f>L252</f>
        <v>769.8</v>
      </c>
    </row>
    <row r="252" spans="1:12" ht="26.4" x14ac:dyDescent="0.25">
      <c r="A252" s="7"/>
      <c r="B252" s="7" t="s">
        <v>57</v>
      </c>
      <c r="C252" s="6" t="s">
        <v>56</v>
      </c>
      <c r="D252" s="271">
        <v>769.8</v>
      </c>
      <c r="E252" s="271">
        <v>-100</v>
      </c>
      <c r="F252" s="271">
        <f>769.8-100</f>
        <v>669.8</v>
      </c>
      <c r="G252" s="271">
        <f>769.8-769.8</f>
        <v>0</v>
      </c>
      <c r="H252" s="345"/>
      <c r="I252" s="271">
        <f>769.8-769.8</f>
        <v>0</v>
      </c>
      <c r="J252" s="271">
        <v>769.8</v>
      </c>
      <c r="K252" s="271"/>
      <c r="L252" s="271">
        <v>769.8</v>
      </c>
    </row>
    <row r="253" spans="1:12" ht="79.2" x14ac:dyDescent="0.25">
      <c r="A253" s="7" t="s">
        <v>95</v>
      </c>
      <c r="B253" s="7"/>
      <c r="C253" s="6" t="s">
        <v>94</v>
      </c>
      <c r="D253" s="271">
        <f>D254</f>
        <v>590</v>
      </c>
      <c r="E253" s="271"/>
      <c r="F253" s="271">
        <f>F254</f>
        <v>590</v>
      </c>
      <c r="G253" s="271">
        <f>G254</f>
        <v>0</v>
      </c>
      <c r="H253" s="345"/>
      <c r="I253" s="271">
        <f>I254</f>
        <v>0</v>
      </c>
      <c r="J253" s="271">
        <f>J254</f>
        <v>590</v>
      </c>
      <c r="K253" s="271"/>
      <c r="L253" s="271">
        <f>L254</f>
        <v>590</v>
      </c>
    </row>
    <row r="254" spans="1:12" ht="26.4" x14ac:dyDescent="0.25">
      <c r="A254" s="7"/>
      <c r="B254" s="7" t="s">
        <v>57</v>
      </c>
      <c r="C254" s="6" t="s">
        <v>56</v>
      </c>
      <c r="D254" s="271">
        <v>590</v>
      </c>
      <c r="E254" s="271"/>
      <c r="F254" s="271">
        <v>590</v>
      </c>
      <c r="G254" s="271">
        <f>590-590</f>
        <v>0</v>
      </c>
      <c r="H254" s="345"/>
      <c r="I254" s="271">
        <f>590-590</f>
        <v>0</v>
      </c>
      <c r="J254" s="271">
        <v>590</v>
      </c>
      <c r="K254" s="271"/>
      <c r="L254" s="271">
        <v>590</v>
      </c>
    </row>
    <row r="255" spans="1:12" ht="26.4" x14ac:dyDescent="0.25">
      <c r="A255" s="7" t="s">
        <v>617</v>
      </c>
      <c r="B255" s="7"/>
      <c r="C255" s="6" t="s">
        <v>618</v>
      </c>
      <c r="D255" s="271">
        <f>D256+D257</f>
        <v>760</v>
      </c>
      <c r="E255" s="271">
        <f>E257</f>
        <v>127.5</v>
      </c>
      <c r="F255" s="271">
        <f>F256+F257</f>
        <v>887.5</v>
      </c>
      <c r="G255" s="271">
        <f>G257</f>
        <v>0</v>
      </c>
      <c r="H255" s="345"/>
      <c r="I255" s="271">
        <f>I257</f>
        <v>0</v>
      </c>
      <c r="J255" s="271">
        <f>J257</f>
        <v>0</v>
      </c>
      <c r="K255" s="271"/>
      <c r="L255" s="271">
        <f>L257</f>
        <v>0</v>
      </c>
    </row>
    <row r="256" spans="1:12" ht="26.4" x14ac:dyDescent="0.25">
      <c r="A256" s="7"/>
      <c r="B256" s="7" t="s">
        <v>12</v>
      </c>
      <c r="C256" s="6" t="s">
        <v>11</v>
      </c>
      <c r="D256" s="271">
        <v>28</v>
      </c>
      <c r="E256" s="271"/>
      <c r="F256" s="271">
        <v>28</v>
      </c>
      <c r="G256" s="271">
        <v>0</v>
      </c>
      <c r="H256" s="345"/>
      <c r="I256" s="271">
        <v>0</v>
      </c>
      <c r="J256" s="271">
        <v>0</v>
      </c>
      <c r="K256" s="271"/>
      <c r="L256" s="271">
        <v>0</v>
      </c>
    </row>
    <row r="257" spans="1:12" ht="26.4" x14ac:dyDescent="0.25">
      <c r="A257" s="7"/>
      <c r="B257" s="7" t="s">
        <v>57</v>
      </c>
      <c r="C257" s="6" t="s">
        <v>56</v>
      </c>
      <c r="D257" s="271">
        <f>560+200-28</f>
        <v>732</v>
      </c>
      <c r="E257" s="271">
        <v>127.5</v>
      </c>
      <c r="F257" s="271">
        <f>560+200-28+127.5</f>
        <v>859.5</v>
      </c>
      <c r="G257" s="271">
        <v>0</v>
      </c>
      <c r="H257" s="345"/>
      <c r="I257" s="271">
        <v>0</v>
      </c>
      <c r="J257" s="271">
        <v>0</v>
      </c>
      <c r="K257" s="271"/>
      <c r="L257" s="271">
        <v>0</v>
      </c>
    </row>
    <row r="258" spans="1:12" ht="26.4" x14ac:dyDescent="0.25">
      <c r="A258" s="7" t="s">
        <v>912</v>
      </c>
      <c r="B258" s="7"/>
      <c r="C258" s="6" t="s">
        <v>913</v>
      </c>
      <c r="D258" s="271">
        <v>0</v>
      </c>
      <c r="E258" s="271">
        <f>E259</f>
        <v>167</v>
      </c>
      <c r="F258" s="271">
        <f>F259</f>
        <v>167</v>
      </c>
      <c r="G258" s="271">
        <f>G261</f>
        <v>50</v>
      </c>
      <c r="H258" s="345"/>
      <c r="I258" s="271">
        <f>I261</f>
        <v>50</v>
      </c>
      <c r="J258" s="271">
        <f>J261</f>
        <v>50</v>
      </c>
      <c r="K258" s="271"/>
      <c r="L258" s="271">
        <f>L261</f>
        <v>50</v>
      </c>
    </row>
    <row r="259" spans="1:12" ht="26.4" x14ac:dyDescent="0.25">
      <c r="A259" s="7"/>
      <c r="B259" s="7" t="s">
        <v>57</v>
      </c>
      <c r="C259" s="6" t="s">
        <v>56</v>
      </c>
      <c r="D259" s="271">
        <v>0</v>
      </c>
      <c r="E259" s="271">
        <v>167</v>
      </c>
      <c r="F259" s="271">
        <v>167</v>
      </c>
      <c r="G259" s="271">
        <v>0</v>
      </c>
      <c r="H259" s="345"/>
      <c r="I259" s="271">
        <v>0</v>
      </c>
      <c r="J259" s="271">
        <v>0</v>
      </c>
      <c r="K259" s="271"/>
      <c r="L259" s="271">
        <v>0</v>
      </c>
    </row>
    <row r="260" spans="1:12" x14ac:dyDescent="0.25">
      <c r="A260" s="440"/>
      <c r="B260" s="440"/>
      <c r="C260" s="6" t="s">
        <v>106</v>
      </c>
      <c r="D260" s="441"/>
      <c r="E260" s="271">
        <v>167</v>
      </c>
      <c r="F260" s="271">
        <v>167</v>
      </c>
      <c r="G260" s="441"/>
      <c r="H260" s="441"/>
      <c r="I260" s="441"/>
      <c r="J260" s="441"/>
      <c r="K260" s="441"/>
      <c r="L260" s="441"/>
    </row>
    <row r="261" spans="1:12" x14ac:dyDescent="0.25">
      <c r="A261" s="223" t="s">
        <v>93</v>
      </c>
      <c r="B261" s="231"/>
      <c r="C261" s="224" t="s">
        <v>92</v>
      </c>
      <c r="D261" s="270">
        <f t="shared" ref="D261:L262" si="29">D262</f>
        <v>50</v>
      </c>
      <c r="E261" s="270"/>
      <c r="F261" s="270">
        <f t="shared" si="29"/>
        <v>50</v>
      </c>
      <c r="G261" s="270">
        <f t="shared" si="29"/>
        <v>50</v>
      </c>
      <c r="H261" s="350"/>
      <c r="I261" s="270">
        <f t="shared" si="29"/>
        <v>50</v>
      </c>
      <c r="J261" s="270">
        <f t="shared" si="29"/>
        <v>50</v>
      </c>
      <c r="K261" s="270"/>
      <c r="L261" s="270">
        <f t="shared" si="29"/>
        <v>50</v>
      </c>
    </row>
    <row r="262" spans="1:12" ht="26.4" x14ac:dyDescent="0.25">
      <c r="A262" s="7" t="s">
        <v>91</v>
      </c>
      <c r="B262" s="7"/>
      <c r="C262" s="6" t="s">
        <v>90</v>
      </c>
      <c r="D262" s="271">
        <f t="shared" si="29"/>
        <v>50</v>
      </c>
      <c r="E262" s="271"/>
      <c r="F262" s="271">
        <f t="shared" si="29"/>
        <v>50</v>
      </c>
      <c r="G262" s="271">
        <f t="shared" si="29"/>
        <v>50</v>
      </c>
      <c r="H262" s="345"/>
      <c r="I262" s="271">
        <f t="shared" si="29"/>
        <v>50</v>
      </c>
      <c r="J262" s="271">
        <f t="shared" si="29"/>
        <v>50</v>
      </c>
      <c r="K262" s="271"/>
      <c r="L262" s="271">
        <f t="shared" si="29"/>
        <v>50</v>
      </c>
    </row>
    <row r="263" spans="1:12" ht="26.4" x14ac:dyDescent="0.25">
      <c r="A263" s="7"/>
      <c r="B263" s="7" t="s">
        <v>57</v>
      </c>
      <c r="C263" s="6" t="s">
        <v>56</v>
      </c>
      <c r="D263" s="271">
        <v>50</v>
      </c>
      <c r="E263" s="271"/>
      <c r="F263" s="271">
        <v>50</v>
      </c>
      <c r="G263" s="271">
        <v>50</v>
      </c>
      <c r="H263" s="345"/>
      <c r="I263" s="271">
        <v>50</v>
      </c>
      <c r="J263" s="271">
        <v>50</v>
      </c>
      <c r="K263" s="271"/>
      <c r="L263" s="271">
        <v>50</v>
      </c>
    </row>
    <row r="264" spans="1:12" ht="74.25" customHeight="1" x14ac:dyDescent="0.25">
      <c r="A264" s="223" t="s">
        <v>118</v>
      </c>
      <c r="B264" s="223"/>
      <c r="C264" s="226" t="s">
        <v>117</v>
      </c>
      <c r="D264" s="270">
        <f>D265+D270+D272+D275</f>
        <v>71577.130929999999</v>
      </c>
      <c r="E264" s="270">
        <f>E265+E270+E272+E275</f>
        <v>-68430.930930000002</v>
      </c>
      <c r="F264" s="270">
        <f>F265+F270+F272+F275</f>
        <v>3146.2</v>
      </c>
      <c r="G264" s="270">
        <f>G270</f>
        <v>0</v>
      </c>
      <c r="H264" s="350"/>
      <c r="I264" s="270">
        <f>I270</f>
        <v>0</v>
      </c>
      <c r="J264" s="270">
        <v>0</v>
      </c>
      <c r="K264" s="270"/>
      <c r="L264" s="270">
        <v>0</v>
      </c>
    </row>
    <row r="265" spans="1:12" ht="26.4" x14ac:dyDescent="0.25">
      <c r="A265" s="37" t="s">
        <v>297</v>
      </c>
      <c r="B265" s="23"/>
      <c r="C265" s="435" t="s">
        <v>647</v>
      </c>
      <c r="D265" s="271">
        <f t="shared" ref="D265:F266" si="30">D266</f>
        <v>68430.930930000002</v>
      </c>
      <c r="E265" s="271">
        <f t="shared" si="30"/>
        <v>-68430.930930000002</v>
      </c>
      <c r="F265" s="271">
        <f t="shared" si="30"/>
        <v>0</v>
      </c>
      <c r="G265" s="271">
        <v>0</v>
      </c>
      <c r="H265" s="345"/>
      <c r="I265" s="271">
        <v>0</v>
      </c>
      <c r="J265" s="271">
        <v>0</v>
      </c>
      <c r="K265" s="271"/>
      <c r="L265" s="271">
        <v>0</v>
      </c>
    </row>
    <row r="266" spans="1:12" ht="27" x14ac:dyDescent="0.3">
      <c r="A266" s="62"/>
      <c r="B266" s="148"/>
      <c r="C266" s="149" t="s">
        <v>295</v>
      </c>
      <c r="D266" s="271">
        <f t="shared" si="30"/>
        <v>68430.930930000002</v>
      </c>
      <c r="E266" s="271">
        <f t="shared" si="30"/>
        <v>-68430.930930000002</v>
      </c>
      <c r="F266" s="271">
        <f t="shared" si="30"/>
        <v>0</v>
      </c>
      <c r="G266" s="271">
        <v>0</v>
      </c>
      <c r="H266" s="345"/>
      <c r="I266" s="271">
        <v>0</v>
      </c>
      <c r="J266" s="271">
        <v>0</v>
      </c>
      <c r="K266" s="271"/>
      <c r="L266" s="271">
        <v>0</v>
      </c>
    </row>
    <row r="267" spans="1:12" ht="39.6" x14ac:dyDescent="0.25">
      <c r="A267" s="7"/>
      <c r="B267" s="75" t="s">
        <v>276</v>
      </c>
      <c r="C267" s="6" t="s">
        <v>275</v>
      </c>
      <c r="D267" s="271">
        <f>D268+D269</f>
        <v>68430.930930000002</v>
      </c>
      <c r="E267" s="271">
        <f>E268+E269</f>
        <v>-68430.930930000002</v>
      </c>
      <c r="F267" s="271">
        <f>F268+F269</f>
        <v>0</v>
      </c>
      <c r="G267" s="271">
        <v>0</v>
      </c>
      <c r="H267" s="345"/>
      <c r="I267" s="271">
        <v>0</v>
      </c>
      <c r="J267" s="271">
        <v>0</v>
      </c>
      <c r="K267" s="271"/>
      <c r="L267" s="271">
        <v>0</v>
      </c>
    </row>
    <row r="268" spans="1:12" x14ac:dyDescent="0.25">
      <c r="A268" s="7"/>
      <c r="B268" s="75"/>
      <c r="C268" s="6" t="s">
        <v>114</v>
      </c>
      <c r="D268" s="271">
        <v>68362.5</v>
      </c>
      <c r="E268" s="271">
        <v>-68362.5</v>
      </c>
      <c r="F268" s="271">
        <v>0</v>
      </c>
      <c r="G268" s="271">
        <v>0</v>
      </c>
      <c r="H268" s="345"/>
      <c r="I268" s="271">
        <v>0</v>
      </c>
      <c r="J268" s="271">
        <v>0</v>
      </c>
      <c r="K268" s="271"/>
      <c r="L268" s="271">
        <v>0</v>
      </c>
    </row>
    <row r="269" spans="1:12" x14ac:dyDescent="0.25">
      <c r="A269" s="61"/>
      <c r="B269" s="7"/>
      <c r="C269" s="6" t="s">
        <v>106</v>
      </c>
      <c r="D269" s="271">
        <v>68.430930000000004</v>
      </c>
      <c r="E269" s="271">
        <v>-68.430930000000004</v>
      </c>
      <c r="F269" s="271">
        <v>0</v>
      </c>
      <c r="G269" s="271">
        <v>0</v>
      </c>
      <c r="H269" s="345"/>
      <c r="I269" s="271">
        <v>0</v>
      </c>
      <c r="J269" s="271">
        <v>0</v>
      </c>
      <c r="K269" s="271"/>
      <c r="L269" s="271">
        <v>0</v>
      </c>
    </row>
    <row r="270" spans="1:12" ht="79.2" x14ac:dyDescent="0.25">
      <c r="A270" s="7" t="s">
        <v>616</v>
      </c>
      <c r="B270" s="7"/>
      <c r="C270" s="6" t="s">
        <v>648</v>
      </c>
      <c r="D270" s="271">
        <f>D271</f>
        <v>2600</v>
      </c>
      <c r="E270" s="271"/>
      <c r="F270" s="271">
        <f>F271</f>
        <v>2600</v>
      </c>
      <c r="G270" s="271">
        <v>0</v>
      </c>
      <c r="H270" s="345"/>
      <c r="I270" s="271">
        <v>0</v>
      </c>
      <c r="J270" s="271">
        <v>0</v>
      </c>
      <c r="K270" s="271"/>
      <c r="L270" s="271">
        <v>0</v>
      </c>
    </row>
    <row r="271" spans="1:12" ht="26.4" x14ac:dyDescent="0.25">
      <c r="A271" s="61"/>
      <c r="B271" s="7" t="s">
        <v>57</v>
      </c>
      <c r="C271" s="6" t="s">
        <v>56</v>
      </c>
      <c r="D271" s="271">
        <v>2600</v>
      </c>
      <c r="E271" s="271"/>
      <c r="F271" s="271">
        <v>2600</v>
      </c>
      <c r="G271" s="271">
        <v>0</v>
      </c>
      <c r="H271" s="345"/>
      <c r="I271" s="271">
        <v>0</v>
      </c>
      <c r="J271" s="271">
        <v>0</v>
      </c>
      <c r="K271" s="271"/>
      <c r="L271" s="271">
        <v>0</v>
      </c>
    </row>
    <row r="272" spans="1:12" ht="52.8" x14ac:dyDescent="0.25">
      <c r="A272" s="7" t="s">
        <v>739</v>
      </c>
      <c r="B272" s="7"/>
      <c r="C272" s="6" t="s">
        <v>630</v>
      </c>
      <c r="D272" s="271">
        <f t="shared" ref="D272:F273" si="31">D273</f>
        <v>500</v>
      </c>
      <c r="E272" s="271"/>
      <c r="F272" s="271">
        <f t="shared" si="31"/>
        <v>500</v>
      </c>
      <c r="G272" s="271">
        <v>0</v>
      </c>
      <c r="H272" s="345"/>
      <c r="I272" s="271">
        <v>0</v>
      </c>
      <c r="J272" s="271">
        <v>0</v>
      </c>
      <c r="K272" s="271"/>
      <c r="L272" s="271">
        <v>0</v>
      </c>
    </row>
    <row r="273" spans="1:12" ht="26.4" x14ac:dyDescent="0.25">
      <c r="A273" s="61"/>
      <c r="B273" s="7" t="s">
        <v>57</v>
      </c>
      <c r="C273" s="6" t="s">
        <v>56</v>
      </c>
      <c r="D273" s="271">
        <f t="shared" si="31"/>
        <v>500</v>
      </c>
      <c r="E273" s="271"/>
      <c r="F273" s="271">
        <f t="shared" si="31"/>
        <v>500</v>
      </c>
      <c r="G273" s="271">
        <v>0</v>
      </c>
      <c r="H273" s="345"/>
      <c r="I273" s="271">
        <v>0</v>
      </c>
      <c r="J273" s="271">
        <v>0</v>
      </c>
      <c r="K273" s="271"/>
      <c r="L273" s="271">
        <v>0</v>
      </c>
    </row>
    <row r="274" spans="1:12" x14ac:dyDescent="0.25">
      <c r="A274" s="61"/>
      <c r="B274" s="7"/>
      <c r="C274" s="6" t="s">
        <v>106</v>
      </c>
      <c r="D274" s="271">
        <v>500</v>
      </c>
      <c r="E274" s="271"/>
      <c r="F274" s="271">
        <f>251.559+248.441</f>
        <v>500</v>
      </c>
      <c r="G274" s="271">
        <v>0</v>
      </c>
      <c r="H274" s="345"/>
      <c r="I274" s="271">
        <v>0</v>
      </c>
      <c r="J274" s="271">
        <v>0</v>
      </c>
      <c r="K274" s="271"/>
      <c r="L274" s="271">
        <v>0</v>
      </c>
    </row>
    <row r="275" spans="1:12" ht="39.6" x14ac:dyDescent="0.25">
      <c r="A275" s="7" t="s">
        <v>740</v>
      </c>
      <c r="B275" s="7"/>
      <c r="C275" s="6" t="s">
        <v>809</v>
      </c>
      <c r="D275" s="279">
        <f>D276</f>
        <v>46.2</v>
      </c>
      <c r="E275" s="279"/>
      <c r="F275" s="279">
        <f>F276</f>
        <v>46.2</v>
      </c>
      <c r="G275" s="271">
        <v>0</v>
      </c>
      <c r="H275" s="345"/>
      <c r="I275" s="271">
        <v>0</v>
      </c>
      <c r="J275" s="271">
        <v>0</v>
      </c>
      <c r="K275" s="271"/>
      <c r="L275" s="271">
        <v>0</v>
      </c>
    </row>
    <row r="276" spans="1:12" ht="26.4" x14ac:dyDescent="0.25">
      <c r="A276" s="7"/>
      <c r="B276" s="7" t="s">
        <v>12</v>
      </c>
      <c r="C276" s="6" t="s">
        <v>11</v>
      </c>
      <c r="D276" s="279">
        <v>46.2</v>
      </c>
      <c r="E276" s="279"/>
      <c r="F276" s="279">
        <v>46.2</v>
      </c>
      <c r="G276" s="271">
        <v>0</v>
      </c>
      <c r="H276" s="345"/>
      <c r="I276" s="271">
        <v>0</v>
      </c>
      <c r="J276" s="271">
        <v>0</v>
      </c>
      <c r="K276" s="271"/>
      <c r="L276" s="271">
        <v>0</v>
      </c>
    </row>
    <row r="277" spans="1:12" ht="26.4" x14ac:dyDescent="0.25">
      <c r="A277" s="369" t="s">
        <v>892</v>
      </c>
      <c r="B277" s="369"/>
      <c r="C277" s="373" t="s">
        <v>893</v>
      </c>
      <c r="D277" s="270">
        <f t="shared" ref="D277:L279" si="32">D278</f>
        <v>0</v>
      </c>
      <c r="E277" s="270">
        <f t="shared" si="32"/>
        <v>68430.930930000002</v>
      </c>
      <c r="F277" s="270">
        <f t="shared" si="32"/>
        <v>68430.930930000002</v>
      </c>
      <c r="G277" s="270">
        <f t="shared" si="32"/>
        <v>0</v>
      </c>
      <c r="H277" s="270"/>
      <c r="I277" s="270">
        <f t="shared" si="32"/>
        <v>0</v>
      </c>
      <c r="J277" s="270">
        <f t="shared" si="32"/>
        <v>0</v>
      </c>
      <c r="K277" s="270"/>
      <c r="L277" s="270">
        <f t="shared" si="32"/>
        <v>0</v>
      </c>
    </row>
    <row r="278" spans="1:12" ht="26.4" x14ac:dyDescent="0.25">
      <c r="A278" s="37" t="s">
        <v>894</v>
      </c>
      <c r="B278" s="23"/>
      <c r="C278" s="435" t="s">
        <v>647</v>
      </c>
      <c r="D278" s="271">
        <f t="shared" si="32"/>
        <v>0</v>
      </c>
      <c r="E278" s="271">
        <f t="shared" si="32"/>
        <v>68430.930930000002</v>
      </c>
      <c r="F278" s="271">
        <f t="shared" si="32"/>
        <v>68430.930930000002</v>
      </c>
      <c r="G278" s="271">
        <f t="shared" si="32"/>
        <v>0</v>
      </c>
      <c r="H278" s="271"/>
      <c r="I278" s="271">
        <f t="shared" si="32"/>
        <v>0</v>
      </c>
      <c r="J278" s="271">
        <f t="shared" si="32"/>
        <v>0</v>
      </c>
      <c r="K278" s="271"/>
      <c r="L278" s="271">
        <f t="shared" si="32"/>
        <v>0</v>
      </c>
    </row>
    <row r="279" spans="1:12" ht="27" x14ac:dyDescent="0.3">
      <c r="A279" s="62"/>
      <c r="B279" s="148"/>
      <c r="C279" s="149" t="s">
        <v>295</v>
      </c>
      <c r="D279" s="271">
        <f t="shared" si="32"/>
        <v>0</v>
      </c>
      <c r="E279" s="271">
        <f t="shared" si="32"/>
        <v>68430.930930000002</v>
      </c>
      <c r="F279" s="271">
        <f t="shared" si="32"/>
        <v>68430.930930000002</v>
      </c>
      <c r="G279" s="271">
        <f t="shared" si="32"/>
        <v>0</v>
      </c>
      <c r="H279" s="271"/>
      <c r="I279" s="271">
        <f t="shared" si="32"/>
        <v>0</v>
      </c>
      <c r="J279" s="271">
        <f t="shared" si="32"/>
        <v>0</v>
      </c>
      <c r="K279" s="271"/>
      <c r="L279" s="271">
        <f t="shared" si="32"/>
        <v>0</v>
      </c>
    </row>
    <row r="280" spans="1:12" ht="39.6" x14ac:dyDescent="0.25">
      <c r="A280" s="7"/>
      <c r="B280" s="75" t="s">
        <v>276</v>
      </c>
      <c r="C280" s="6" t="s">
        <v>275</v>
      </c>
      <c r="D280" s="271">
        <f>D281+D282</f>
        <v>0</v>
      </c>
      <c r="E280" s="271">
        <f>E281+E282</f>
        <v>68430.930930000002</v>
      </c>
      <c r="F280" s="271">
        <f t="shared" ref="F280:L280" si="33">F281+F282</f>
        <v>68430.930930000002</v>
      </c>
      <c r="G280" s="271">
        <f t="shared" si="33"/>
        <v>0</v>
      </c>
      <c r="H280" s="271"/>
      <c r="I280" s="271">
        <f t="shared" si="33"/>
        <v>0</v>
      </c>
      <c r="J280" s="271">
        <f t="shared" si="33"/>
        <v>0</v>
      </c>
      <c r="K280" s="271"/>
      <c r="L280" s="271">
        <f t="shared" si="33"/>
        <v>0</v>
      </c>
    </row>
    <row r="281" spans="1:12" x14ac:dyDescent="0.25">
      <c r="A281" s="7"/>
      <c r="B281" s="75"/>
      <c r="C281" s="6" t="s">
        <v>114</v>
      </c>
      <c r="D281" s="271">
        <v>0</v>
      </c>
      <c r="E281" s="271">
        <v>68362.5</v>
      </c>
      <c r="F281" s="271">
        <v>68362.5</v>
      </c>
      <c r="G281" s="271">
        <v>0</v>
      </c>
      <c r="H281" s="345"/>
      <c r="I281" s="271">
        <v>0</v>
      </c>
      <c r="J281" s="271">
        <v>0</v>
      </c>
      <c r="K281" s="271"/>
      <c r="L281" s="271">
        <v>0</v>
      </c>
    </row>
    <row r="282" spans="1:12" x14ac:dyDescent="0.25">
      <c r="A282" s="61"/>
      <c r="B282" s="7"/>
      <c r="C282" s="6" t="s">
        <v>106</v>
      </c>
      <c r="D282" s="271">
        <v>0</v>
      </c>
      <c r="E282" s="271">
        <v>68.430930000000004</v>
      </c>
      <c r="F282" s="271">
        <v>68.430930000000004</v>
      </c>
      <c r="G282" s="271">
        <v>0</v>
      </c>
      <c r="H282" s="345"/>
      <c r="I282" s="271">
        <v>0</v>
      </c>
      <c r="J282" s="271">
        <v>0</v>
      </c>
      <c r="K282" s="271"/>
      <c r="L282" s="271">
        <v>0</v>
      </c>
    </row>
    <row r="283" spans="1:12" ht="26.4" x14ac:dyDescent="0.25">
      <c r="A283" s="228" t="s">
        <v>112</v>
      </c>
      <c r="B283" s="228"/>
      <c r="C283" s="226" t="s">
        <v>111</v>
      </c>
      <c r="D283" s="270">
        <f>D284+D287</f>
        <v>0.15789</v>
      </c>
      <c r="E283" s="270">
        <f>E284+E287</f>
        <v>-0.15789</v>
      </c>
      <c r="F283" s="270">
        <f>F284+F287</f>
        <v>0</v>
      </c>
      <c r="G283" s="270">
        <f>G284+G287</f>
        <v>0.15789</v>
      </c>
      <c r="H283" s="350"/>
      <c r="I283" s="270">
        <f>I284+I287</f>
        <v>0.15789</v>
      </c>
      <c r="J283" s="270">
        <f>J284+J287</f>
        <v>0</v>
      </c>
      <c r="K283" s="270"/>
      <c r="L283" s="270">
        <f>L284+L287</f>
        <v>0</v>
      </c>
    </row>
    <row r="284" spans="1:12" ht="39.6" x14ac:dyDescent="0.25">
      <c r="A284" s="55" t="s">
        <v>110</v>
      </c>
      <c r="B284" s="55"/>
      <c r="C284" s="103" t="s">
        <v>109</v>
      </c>
      <c r="D284" s="271">
        <f t="shared" ref="D284:L285" si="34">D285</f>
        <v>5.2630000000000003E-2</v>
      </c>
      <c r="E284" s="271">
        <f t="shared" si="34"/>
        <v>-5.2630000000000003E-2</v>
      </c>
      <c r="F284" s="271">
        <f t="shared" si="34"/>
        <v>0</v>
      </c>
      <c r="G284" s="271">
        <f t="shared" si="34"/>
        <v>5.2630000000000003E-2</v>
      </c>
      <c r="H284" s="345"/>
      <c r="I284" s="271">
        <f t="shared" si="34"/>
        <v>5.2630000000000003E-2</v>
      </c>
      <c r="J284" s="271">
        <f t="shared" si="34"/>
        <v>0</v>
      </c>
      <c r="K284" s="271"/>
      <c r="L284" s="271">
        <f t="shared" si="34"/>
        <v>0</v>
      </c>
    </row>
    <row r="285" spans="1:12" ht="26.4" x14ac:dyDescent="0.25">
      <c r="A285" s="23"/>
      <c r="B285" s="55" t="s">
        <v>57</v>
      </c>
      <c r="C285" s="6" t="s">
        <v>56</v>
      </c>
      <c r="D285" s="271">
        <f t="shared" si="34"/>
        <v>5.2630000000000003E-2</v>
      </c>
      <c r="E285" s="271">
        <f t="shared" si="34"/>
        <v>-5.2630000000000003E-2</v>
      </c>
      <c r="F285" s="271">
        <f t="shared" si="34"/>
        <v>0</v>
      </c>
      <c r="G285" s="271">
        <f t="shared" si="34"/>
        <v>5.2630000000000003E-2</v>
      </c>
      <c r="H285" s="345"/>
      <c r="I285" s="271">
        <f t="shared" si="34"/>
        <v>5.2630000000000003E-2</v>
      </c>
      <c r="J285" s="271">
        <f t="shared" si="34"/>
        <v>0</v>
      </c>
      <c r="K285" s="271"/>
      <c r="L285" s="271">
        <f t="shared" si="34"/>
        <v>0</v>
      </c>
    </row>
    <row r="286" spans="1:12" x14ac:dyDescent="0.25">
      <c r="A286" s="23"/>
      <c r="B286" s="55"/>
      <c r="C286" s="6" t="s">
        <v>106</v>
      </c>
      <c r="D286" s="271">
        <v>5.2630000000000003E-2</v>
      </c>
      <c r="E286" s="271">
        <v>-5.2630000000000003E-2</v>
      </c>
      <c r="F286" s="271">
        <v>0</v>
      </c>
      <c r="G286" s="271">
        <v>5.2630000000000003E-2</v>
      </c>
      <c r="H286" s="345"/>
      <c r="I286" s="271">
        <v>5.2630000000000003E-2</v>
      </c>
      <c r="J286" s="271">
        <f>0.05263-0.05263</f>
        <v>0</v>
      </c>
      <c r="K286" s="271"/>
      <c r="L286" s="271">
        <f>0.05263-0.05263</f>
        <v>0</v>
      </c>
    </row>
    <row r="287" spans="1:12" ht="39.6" x14ac:dyDescent="0.25">
      <c r="A287" s="55" t="s">
        <v>108</v>
      </c>
      <c r="B287" s="55"/>
      <c r="C287" s="103" t="s">
        <v>107</v>
      </c>
      <c r="D287" s="271">
        <f t="shared" ref="D287:L288" si="35">D288</f>
        <v>0.10526000000000001</v>
      </c>
      <c r="E287" s="271">
        <f t="shared" si="35"/>
        <v>-0.10526000000000001</v>
      </c>
      <c r="F287" s="271">
        <f t="shared" si="35"/>
        <v>0</v>
      </c>
      <c r="G287" s="271">
        <f t="shared" si="35"/>
        <v>0.10526000000000001</v>
      </c>
      <c r="H287" s="345"/>
      <c r="I287" s="271">
        <f t="shared" si="35"/>
        <v>0.10526000000000001</v>
      </c>
      <c r="J287" s="271">
        <f t="shared" si="35"/>
        <v>0</v>
      </c>
      <c r="K287" s="271"/>
      <c r="L287" s="271">
        <f t="shared" si="35"/>
        <v>0</v>
      </c>
    </row>
    <row r="288" spans="1:12" ht="26.4" x14ac:dyDescent="0.25">
      <c r="A288" s="23"/>
      <c r="B288" s="55" t="s">
        <v>57</v>
      </c>
      <c r="C288" s="6" t="s">
        <v>56</v>
      </c>
      <c r="D288" s="271">
        <f t="shared" si="35"/>
        <v>0.10526000000000001</v>
      </c>
      <c r="E288" s="271">
        <f t="shared" si="35"/>
        <v>-0.10526000000000001</v>
      </c>
      <c r="F288" s="271">
        <f t="shared" si="35"/>
        <v>0</v>
      </c>
      <c r="G288" s="271">
        <f t="shared" si="35"/>
        <v>0.10526000000000001</v>
      </c>
      <c r="H288" s="345"/>
      <c r="I288" s="271">
        <f t="shared" si="35"/>
        <v>0.10526000000000001</v>
      </c>
      <c r="J288" s="271">
        <f t="shared" si="35"/>
        <v>0</v>
      </c>
      <c r="K288" s="271"/>
      <c r="L288" s="271">
        <f t="shared" si="35"/>
        <v>0</v>
      </c>
    </row>
    <row r="289" spans="1:12" x14ac:dyDescent="0.25">
      <c r="A289" s="23"/>
      <c r="B289" s="55"/>
      <c r="C289" s="6" t="s">
        <v>106</v>
      </c>
      <c r="D289" s="271">
        <v>0.10526000000000001</v>
      </c>
      <c r="E289" s="271">
        <v>-0.10526000000000001</v>
      </c>
      <c r="F289" s="271">
        <v>0</v>
      </c>
      <c r="G289" s="271">
        <v>0.10526000000000001</v>
      </c>
      <c r="H289" s="345"/>
      <c r="I289" s="271">
        <v>0.10526000000000001</v>
      </c>
      <c r="J289" s="271">
        <f>0.10526-0.10526</f>
        <v>0</v>
      </c>
      <c r="K289" s="271"/>
      <c r="L289" s="271">
        <f>0.10526-0.10526</f>
        <v>0</v>
      </c>
    </row>
    <row r="290" spans="1:12" x14ac:dyDescent="0.25">
      <c r="A290" s="31" t="s">
        <v>152</v>
      </c>
      <c r="B290" s="31"/>
      <c r="C290" s="52" t="s">
        <v>151</v>
      </c>
      <c r="D290" s="269">
        <f>D291</f>
        <v>365.5</v>
      </c>
      <c r="E290" s="269">
        <f>E291</f>
        <v>-67</v>
      </c>
      <c r="F290" s="269">
        <f>F291</f>
        <v>298.5</v>
      </c>
      <c r="G290" s="269">
        <f>G291</f>
        <v>67</v>
      </c>
      <c r="H290" s="349"/>
      <c r="I290" s="269">
        <f>I291</f>
        <v>67</v>
      </c>
      <c r="J290" s="269">
        <f>J291</f>
        <v>365.5</v>
      </c>
      <c r="K290" s="269"/>
      <c r="L290" s="269">
        <f>L291</f>
        <v>365.5</v>
      </c>
    </row>
    <row r="291" spans="1:12" ht="26.4" x14ac:dyDescent="0.25">
      <c r="A291" s="223" t="s">
        <v>150</v>
      </c>
      <c r="B291" s="223"/>
      <c r="C291" s="224" t="s">
        <v>149</v>
      </c>
      <c r="D291" s="270">
        <f>D292+D294</f>
        <v>365.5</v>
      </c>
      <c r="E291" s="270">
        <f>E292+E294</f>
        <v>-67</v>
      </c>
      <c r="F291" s="270">
        <f>F292+F294</f>
        <v>298.5</v>
      </c>
      <c r="G291" s="270">
        <f>G292+G294</f>
        <v>67</v>
      </c>
      <c r="H291" s="350"/>
      <c r="I291" s="270">
        <f>I292+I294</f>
        <v>67</v>
      </c>
      <c r="J291" s="270">
        <f>J292+J294</f>
        <v>365.5</v>
      </c>
      <c r="K291" s="270"/>
      <c r="L291" s="270">
        <f>L292+L294</f>
        <v>365.5</v>
      </c>
    </row>
    <row r="292" spans="1:12" ht="118.8" x14ac:dyDescent="0.25">
      <c r="A292" s="7" t="s">
        <v>148</v>
      </c>
      <c r="B292" s="7"/>
      <c r="C292" s="6" t="s">
        <v>147</v>
      </c>
      <c r="D292" s="271">
        <f>D293</f>
        <v>298.5</v>
      </c>
      <c r="E292" s="271"/>
      <c r="F292" s="271">
        <f>F293</f>
        <v>298.5</v>
      </c>
      <c r="G292" s="271">
        <f>G293</f>
        <v>0</v>
      </c>
      <c r="H292" s="345"/>
      <c r="I292" s="271">
        <f>I293</f>
        <v>0</v>
      </c>
      <c r="J292" s="271">
        <f>J293</f>
        <v>298.5</v>
      </c>
      <c r="K292" s="271"/>
      <c r="L292" s="271">
        <f>L293</f>
        <v>298.5</v>
      </c>
    </row>
    <row r="293" spans="1:12" ht="26.4" x14ac:dyDescent="0.25">
      <c r="A293" s="7"/>
      <c r="B293" s="7" t="s">
        <v>57</v>
      </c>
      <c r="C293" s="6" t="s">
        <v>56</v>
      </c>
      <c r="D293" s="271">
        <v>298.5</v>
      </c>
      <c r="E293" s="271"/>
      <c r="F293" s="271">
        <v>298.5</v>
      </c>
      <c r="G293" s="271">
        <f>298.5-298.5</f>
        <v>0</v>
      </c>
      <c r="H293" s="345"/>
      <c r="I293" s="271">
        <f>298.5-298.5</f>
        <v>0</v>
      </c>
      <c r="J293" s="271">
        <v>298.5</v>
      </c>
      <c r="K293" s="271"/>
      <c r="L293" s="271">
        <v>298.5</v>
      </c>
    </row>
    <row r="294" spans="1:12" ht="26.4" x14ac:dyDescent="0.25">
      <c r="A294" s="55" t="s">
        <v>146</v>
      </c>
      <c r="B294" s="55"/>
      <c r="C294" s="6" t="s">
        <v>145</v>
      </c>
      <c r="D294" s="271">
        <f>D295</f>
        <v>67</v>
      </c>
      <c r="E294" s="271">
        <f>E295</f>
        <v>-67</v>
      </c>
      <c r="F294" s="271">
        <f>F295</f>
        <v>0</v>
      </c>
      <c r="G294" s="271">
        <f>G295</f>
        <v>67</v>
      </c>
      <c r="H294" s="345"/>
      <c r="I294" s="271">
        <f>I295</f>
        <v>67</v>
      </c>
      <c r="J294" s="271">
        <f>J295</f>
        <v>67</v>
      </c>
      <c r="K294" s="271"/>
      <c r="L294" s="271">
        <f>L295</f>
        <v>67</v>
      </c>
    </row>
    <row r="295" spans="1:12" ht="26.4" x14ac:dyDescent="0.25">
      <c r="A295" s="55"/>
      <c r="B295" s="7" t="s">
        <v>57</v>
      </c>
      <c r="C295" s="6" t="s">
        <v>56</v>
      </c>
      <c r="D295" s="271">
        <f>D297</f>
        <v>67</v>
      </c>
      <c r="E295" s="271">
        <v>-67</v>
      </c>
      <c r="F295" s="271">
        <f>F297</f>
        <v>0</v>
      </c>
      <c r="G295" s="271">
        <f>G297</f>
        <v>67</v>
      </c>
      <c r="H295" s="345"/>
      <c r="I295" s="271">
        <f>I297</f>
        <v>67</v>
      </c>
      <c r="J295" s="271">
        <f>J297</f>
        <v>67</v>
      </c>
      <c r="K295" s="271"/>
      <c r="L295" s="271">
        <f>L297</f>
        <v>67</v>
      </c>
    </row>
    <row r="296" spans="1:12" x14ac:dyDescent="0.25">
      <c r="A296" s="7"/>
      <c r="B296" s="7"/>
      <c r="C296" s="6" t="s">
        <v>114</v>
      </c>
      <c r="D296" s="271">
        <v>0</v>
      </c>
      <c r="E296" s="271"/>
      <c r="F296" s="271">
        <v>0</v>
      </c>
      <c r="G296" s="271">
        <v>0</v>
      </c>
      <c r="H296" s="345"/>
      <c r="I296" s="271">
        <v>0</v>
      </c>
      <c r="J296" s="271">
        <v>0</v>
      </c>
      <c r="K296" s="271"/>
      <c r="L296" s="271">
        <v>0</v>
      </c>
    </row>
    <row r="297" spans="1:12" x14ac:dyDescent="0.25">
      <c r="A297" s="7"/>
      <c r="B297" s="7"/>
      <c r="C297" s="6" t="s">
        <v>106</v>
      </c>
      <c r="D297" s="271">
        <v>67</v>
      </c>
      <c r="E297" s="271">
        <v>-67</v>
      </c>
      <c r="F297" s="271">
        <v>0</v>
      </c>
      <c r="G297" s="271">
        <v>67</v>
      </c>
      <c r="H297" s="345"/>
      <c r="I297" s="271">
        <v>67</v>
      </c>
      <c r="J297" s="271">
        <v>67</v>
      </c>
      <c r="K297" s="271"/>
      <c r="L297" s="271">
        <v>67</v>
      </c>
    </row>
    <row r="298" spans="1:12" x14ac:dyDescent="0.25">
      <c r="A298" s="31" t="s">
        <v>63</v>
      </c>
      <c r="B298" s="31"/>
      <c r="C298" s="52" t="s">
        <v>62</v>
      </c>
      <c r="D298" s="269">
        <f>D299</f>
        <v>1042.5999999999999</v>
      </c>
      <c r="E298" s="269"/>
      <c r="F298" s="269">
        <f>F299</f>
        <v>1042.5999999999999</v>
      </c>
      <c r="G298" s="269">
        <f t="shared" ref="G298:L300" si="36">G299</f>
        <v>1042.5999999999999</v>
      </c>
      <c r="H298" s="349"/>
      <c r="I298" s="269">
        <f t="shared" si="36"/>
        <v>1042.5999999999999</v>
      </c>
      <c r="J298" s="269">
        <f t="shared" si="36"/>
        <v>1042.5999999999999</v>
      </c>
      <c r="K298" s="269"/>
      <c r="L298" s="269">
        <f t="shared" si="36"/>
        <v>1042.5999999999999</v>
      </c>
    </row>
    <row r="299" spans="1:12" ht="66" x14ac:dyDescent="0.25">
      <c r="A299" s="223" t="s">
        <v>61</v>
      </c>
      <c r="B299" s="223"/>
      <c r="C299" s="224" t="s">
        <v>60</v>
      </c>
      <c r="D299" s="270">
        <f>D300</f>
        <v>1042.5999999999999</v>
      </c>
      <c r="E299" s="270"/>
      <c r="F299" s="270">
        <f>F300</f>
        <v>1042.5999999999999</v>
      </c>
      <c r="G299" s="270">
        <f t="shared" si="36"/>
        <v>1042.5999999999999</v>
      </c>
      <c r="H299" s="350"/>
      <c r="I299" s="270">
        <f t="shared" si="36"/>
        <v>1042.5999999999999</v>
      </c>
      <c r="J299" s="270">
        <f t="shared" si="36"/>
        <v>1042.5999999999999</v>
      </c>
      <c r="K299" s="270"/>
      <c r="L299" s="270">
        <f t="shared" si="36"/>
        <v>1042.5999999999999</v>
      </c>
    </row>
    <row r="300" spans="1:12" ht="26.4" x14ac:dyDescent="0.25">
      <c r="A300" s="7" t="s">
        <v>59</v>
      </c>
      <c r="B300" s="7"/>
      <c r="C300" s="6" t="s">
        <v>58</v>
      </c>
      <c r="D300" s="271">
        <f>D301</f>
        <v>1042.5999999999999</v>
      </c>
      <c r="E300" s="271"/>
      <c r="F300" s="271">
        <f>F301</f>
        <v>1042.5999999999999</v>
      </c>
      <c r="G300" s="271">
        <f t="shared" si="36"/>
        <v>1042.5999999999999</v>
      </c>
      <c r="H300" s="345"/>
      <c r="I300" s="271">
        <f t="shared" si="36"/>
        <v>1042.5999999999999</v>
      </c>
      <c r="J300" s="271">
        <f t="shared" si="36"/>
        <v>1042.5999999999999</v>
      </c>
      <c r="K300" s="271"/>
      <c r="L300" s="271">
        <f t="shared" si="36"/>
        <v>1042.5999999999999</v>
      </c>
    </row>
    <row r="301" spans="1:12" ht="26.4" x14ac:dyDescent="0.25">
      <c r="A301" s="7"/>
      <c r="B301" s="7" t="s">
        <v>57</v>
      </c>
      <c r="C301" s="6" t="s">
        <v>56</v>
      </c>
      <c r="D301" s="271">
        <v>1042.5999999999999</v>
      </c>
      <c r="E301" s="271"/>
      <c r="F301" s="271">
        <v>1042.5999999999999</v>
      </c>
      <c r="G301" s="271">
        <v>1042.5999999999999</v>
      </c>
      <c r="H301" s="345"/>
      <c r="I301" s="271">
        <v>1042.5999999999999</v>
      </c>
      <c r="J301" s="271">
        <v>1042.5999999999999</v>
      </c>
      <c r="K301" s="271"/>
      <c r="L301" s="271">
        <v>1042.5999999999999</v>
      </c>
    </row>
    <row r="302" spans="1:12" s="1" customFormat="1" ht="40.200000000000003" x14ac:dyDescent="0.3">
      <c r="A302" s="242" t="s">
        <v>73</v>
      </c>
      <c r="B302" s="242"/>
      <c r="C302" s="245" t="s">
        <v>72</v>
      </c>
      <c r="D302" s="268">
        <f>D303+D311</f>
        <v>2337.3541</v>
      </c>
      <c r="E302" s="268"/>
      <c r="F302" s="268">
        <f>F303+F311</f>
        <v>2337.3541</v>
      </c>
      <c r="G302" s="268">
        <f>G303+G311</f>
        <v>2150</v>
      </c>
      <c r="H302" s="348"/>
      <c r="I302" s="268">
        <f>I303+I311</f>
        <v>2150</v>
      </c>
      <c r="J302" s="268">
        <f>J303+J311</f>
        <v>14790.342860000001</v>
      </c>
      <c r="K302" s="268"/>
      <c r="L302" s="268">
        <f>L303+L311</f>
        <v>14790.342860000001</v>
      </c>
    </row>
    <row r="303" spans="1:12" s="1" customFormat="1" ht="53.4" x14ac:dyDescent="0.3">
      <c r="A303" s="223" t="s">
        <v>71</v>
      </c>
      <c r="B303" s="231"/>
      <c r="C303" s="224" t="s">
        <v>172</v>
      </c>
      <c r="D303" s="270">
        <f>D304+D306+D309</f>
        <v>2337.3541</v>
      </c>
      <c r="E303" s="270"/>
      <c r="F303" s="270">
        <f>F304+F306+F309</f>
        <v>2337.3541</v>
      </c>
      <c r="G303" s="270">
        <f>G304+G306+G309</f>
        <v>299.2</v>
      </c>
      <c r="H303" s="350"/>
      <c r="I303" s="270">
        <f>I304+I306+I309</f>
        <v>299.2</v>
      </c>
      <c r="J303" s="270">
        <f>J304+J306+J309</f>
        <v>1933.2</v>
      </c>
      <c r="K303" s="270"/>
      <c r="L303" s="270">
        <f>L304+L306+L309</f>
        <v>1933.2</v>
      </c>
    </row>
    <row r="304" spans="1:12" s="1" customFormat="1" ht="66.599999999999994" x14ac:dyDescent="0.3">
      <c r="A304" s="7" t="s">
        <v>69</v>
      </c>
      <c r="B304" s="7"/>
      <c r="C304" s="6" t="s">
        <v>649</v>
      </c>
      <c r="D304" s="271">
        <f>D305</f>
        <v>1677.6</v>
      </c>
      <c r="E304" s="271"/>
      <c r="F304" s="271">
        <f>F305</f>
        <v>1677.6</v>
      </c>
      <c r="G304" s="271">
        <f>G305</f>
        <v>0</v>
      </c>
      <c r="H304" s="345"/>
      <c r="I304" s="271">
        <f>I305</f>
        <v>0</v>
      </c>
      <c r="J304" s="271">
        <f>J305</f>
        <v>1634</v>
      </c>
      <c r="K304" s="271"/>
      <c r="L304" s="271">
        <f>L305</f>
        <v>1634</v>
      </c>
    </row>
    <row r="305" spans="1:12" s="1" customFormat="1" ht="27" x14ac:dyDescent="0.3">
      <c r="A305" s="7"/>
      <c r="B305" s="7" t="s">
        <v>57</v>
      </c>
      <c r="C305" s="6" t="s">
        <v>56</v>
      </c>
      <c r="D305" s="271">
        <f>1634+43.6</f>
        <v>1677.6</v>
      </c>
      <c r="E305" s="271"/>
      <c r="F305" s="271">
        <f>1634+43.6</f>
        <v>1677.6</v>
      </c>
      <c r="G305" s="271">
        <f>1756.9-114.3-1642.6</f>
        <v>0</v>
      </c>
      <c r="H305" s="345"/>
      <c r="I305" s="271">
        <f>1756.9-114.3-1642.6</f>
        <v>0</v>
      </c>
      <c r="J305" s="271">
        <v>1634</v>
      </c>
      <c r="K305" s="271"/>
      <c r="L305" s="271">
        <v>1634</v>
      </c>
    </row>
    <row r="306" spans="1:12" s="1" customFormat="1" ht="14.4" x14ac:dyDescent="0.3">
      <c r="A306" s="7" t="s">
        <v>171</v>
      </c>
      <c r="B306" s="7"/>
      <c r="C306" s="6" t="s">
        <v>170</v>
      </c>
      <c r="D306" s="271">
        <f t="shared" ref="D306:L307" si="37">D307</f>
        <v>299.2</v>
      </c>
      <c r="E306" s="271"/>
      <c r="F306" s="271">
        <f t="shared" si="37"/>
        <v>299.2</v>
      </c>
      <c r="G306" s="271">
        <f t="shared" si="37"/>
        <v>299.2</v>
      </c>
      <c r="H306" s="345"/>
      <c r="I306" s="271">
        <f t="shared" si="37"/>
        <v>299.2</v>
      </c>
      <c r="J306" s="271">
        <f t="shared" si="37"/>
        <v>299.2</v>
      </c>
      <c r="K306" s="271"/>
      <c r="L306" s="271">
        <f t="shared" si="37"/>
        <v>299.2</v>
      </c>
    </row>
    <row r="307" spans="1:12" s="1" customFormat="1" ht="27" x14ac:dyDescent="0.3">
      <c r="A307" s="7"/>
      <c r="B307" s="7" t="s">
        <v>57</v>
      </c>
      <c r="C307" s="6" t="s">
        <v>56</v>
      </c>
      <c r="D307" s="271">
        <f t="shared" si="37"/>
        <v>299.2</v>
      </c>
      <c r="E307" s="271"/>
      <c r="F307" s="271">
        <f t="shared" si="37"/>
        <v>299.2</v>
      </c>
      <c r="G307" s="271">
        <f t="shared" si="37"/>
        <v>299.2</v>
      </c>
      <c r="H307" s="345"/>
      <c r="I307" s="271">
        <f t="shared" si="37"/>
        <v>299.2</v>
      </c>
      <c r="J307" s="271">
        <f t="shared" si="37"/>
        <v>299.2</v>
      </c>
      <c r="K307" s="271"/>
      <c r="L307" s="271">
        <f t="shared" si="37"/>
        <v>299.2</v>
      </c>
    </row>
    <row r="308" spans="1:12" s="1" customFormat="1" ht="14.4" x14ac:dyDescent="0.3">
      <c r="A308" s="7"/>
      <c r="B308" s="7"/>
      <c r="C308" s="6" t="s">
        <v>106</v>
      </c>
      <c r="D308" s="271">
        <v>299.2</v>
      </c>
      <c r="E308" s="271"/>
      <c r="F308" s="271">
        <v>299.2</v>
      </c>
      <c r="G308" s="271">
        <v>299.2</v>
      </c>
      <c r="H308" s="345"/>
      <c r="I308" s="271">
        <v>299.2</v>
      </c>
      <c r="J308" s="271">
        <v>299.2</v>
      </c>
      <c r="K308" s="271"/>
      <c r="L308" s="271">
        <v>299.2</v>
      </c>
    </row>
    <row r="309" spans="1:12" s="1" customFormat="1" ht="27" x14ac:dyDescent="0.3">
      <c r="A309" s="7" t="s">
        <v>825</v>
      </c>
      <c r="B309" s="7"/>
      <c r="C309" s="6" t="s">
        <v>826</v>
      </c>
      <c r="D309" s="271">
        <f>D310</f>
        <v>360.55410000000001</v>
      </c>
      <c r="E309" s="271"/>
      <c r="F309" s="271">
        <f>F310</f>
        <v>360.55410000000001</v>
      </c>
      <c r="G309" s="271">
        <v>0</v>
      </c>
      <c r="H309" s="345"/>
      <c r="I309" s="271">
        <v>0</v>
      </c>
      <c r="J309" s="271">
        <v>0</v>
      </c>
      <c r="K309" s="271"/>
      <c r="L309" s="271">
        <v>0</v>
      </c>
    </row>
    <row r="310" spans="1:12" s="1" customFormat="1" ht="27" x14ac:dyDescent="0.3">
      <c r="A310" s="7"/>
      <c r="B310" s="7" t="s">
        <v>57</v>
      </c>
      <c r="C310" s="6" t="s">
        <v>56</v>
      </c>
      <c r="D310" s="271">
        <v>360.55410000000001</v>
      </c>
      <c r="E310" s="271"/>
      <c r="F310" s="271">
        <v>360.55410000000001</v>
      </c>
      <c r="G310" s="271">
        <v>0</v>
      </c>
      <c r="H310" s="345"/>
      <c r="I310" s="271">
        <v>0</v>
      </c>
      <c r="J310" s="271">
        <v>0</v>
      </c>
      <c r="K310" s="271"/>
      <c r="L310" s="271">
        <v>0</v>
      </c>
    </row>
    <row r="311" spans="1:12" s="1" customFormat="1" ht="40.200000000000003" x14ac:dyDescent="0.3">
      <c r="A311" s="223" t="s">
        <v>169</v>
      </c>
      <c r="B311" s="239"/>
      <c r="C311" s="239" t="s">
        <v>168</v>
      </c>
      <c r="D311" s="270">
        <f>D312+D316</f>
        <v>0</v>
      </c>
      <c r="E311" s="270"/>
      <c r="F311" s="270">
        <f>F312+F316</f>
        <v>0</v>
      </c>
      <c r="G311" s="270">
        <f>G312+G316</f>
        <v>1850.8</v>
      </c>
      <c r="H311" s="350"/>
      <c r="I311" s="270">
        <f>I312+I316</f>
        <v>1850.8</v>
      </c>
      <c r="J311" s="270">
        <f>J312+J316</f>
        <v>12857.14286</v>
      </c>
      <c r="K311" s="270"/>
      <c r="L311" s="270">
        <f>L312+L316</f>
        <v>12857.14286</v>
      </c>
    </row>
    <row r="312" spans="1:12" s="1" customFormat="1" ht="27" x14ac:dyDescent="0.3">
      <c r="A312" s="7" t="s">
        <v>167</v>
      </c>
      <c r="B312" s="7"/>
      <c r="C312" s="6" t="s">
        <v>166</v>
      </c>
      <c r="D312" s="271">
        <f>D313</f>
        <v>0</v>
      </c>
      <c r="E312" s="271"/>
      <c r="F312" s="271">
        <f>F313</f>
        <v>0</v>
      </c>
      <c r="G312" s="271">
        <f>G313</f>
        <v>0</v>
      </c>
      <c r="H312" s="345"/>
      <c r="I312" s="271">
        <f>I313</f>
        <v>0</v>
      </c>
      <c r="J312" s="271">
        <f>J313</f>
        <v>12857.14286</v>
      </c>
      <c r="K312" s="271"/>
      <c r="L312" s="271">
        <f>L313</f>
        <v>12857.14286</v>
      </c>
    </row>
    <row r="313" spans="1:12" s="1" customFormat="1" ht="27" x14ac:dyDescent="0.3">
      <c r="A313" s="7"/>
      <c r="B313" s="7" t="s">
        <v>57</v>
      </c>
      <c r="C313" s="6" t="s">
        <v>56</v>
      </c>
      <c r="D313" s="271">
        <f>D314+D315</f>
        <v>0</v>
      </c>
      <c r="E313" s="271"/>
      <c r="F313" s="271">
        <f>F314+F315</f>
        <v>0</v>
      </c>
      <c r="G313" s="271">
        <f>G314+G315</f>
        <v>0</v>
      </c>
      <c r="H313" s="345"/>
      <c r="I313" s="271">
        <f>I314+I315</f>
        <v>0</v>
      </c>
      <c r="J313" s="271">
        <f>J314+J315</f>
        <v>12857.14286</v>
      </c>
      <c r="K313" s="271"/>
      <c r="L313" s="271">
        <f>L314+L315</f>
        <v>12857.14286</v>
      </c>
    </row>
    <row r="314" spans="1:12" s="1" customFormat="1" ht="14.4" x14ac:dyDescent="0.3">
      <c r="A314" s="7"/>
      <c r="B314" s="7"/>
      <c r="C314" s="6" t="s">
        <v>165</v>
      </c>
      <c r="D314" s="271">
        <v>0</v>
      </c>
      <c r="E314" s="271"/>
      <c r="F314" s="271">
        <v>0</v>
      </c>
      <c r="G314" s="271">
        <v>0</v>
      </c>
      <c r="H314" s="345"/>
      <c r="I314" s="271">
        <v>0</v>
      </c>
      <c r="J314" s="271">
        <v>0</v>
      </c>
      <c r="K314" s="271"/>
      <c r="L314" s="271">
        <v>0</v>
      </c>
    </row>
    <row r="315" spans="1:12" s="1" customFormat="1" ht="14.4" x14ac:dyDescent="0.3">
      <c r="A315" s="7"/>
      <c r="B315" s="7"/>
      <c r="C315" s="6" t="s">
        <v>164</v>
      </c>
      <c r="D315" s="271">
        <v>0</v>
      </c>
      <c r="E315" s="271"/>
      <c r="F315" s="271">
        <v>0</v>
      </c>
      <c r="G315" s="271">
        <v>0</v>
      </c>
      <c r="H315" s="345"/>
      <c r="I315" s="271">
        <v>0</v>
      </c>
      <c r="J315" s="271">
        <v>12857.14286</v>
      </c>
      <c r="K315" s="271"/>
      <c r="L315" s="271">
        <v>12857.14286</v>
      </c>
    </row>
    <row r="316" spans="1:12" ht="52.8" x14ac:dyDescent="0.25">
      <c r="A316" s="7" t="s">
        <v>614</v>
      </c>
      <c r="B316" s="142"/>
      <c r="C316" s="199" t="s">
        <v>615</v>
      </c>
      <c r="D316" s="271">
        <f>D317</f>
        <v>0</v>
      </c>
      <c r="E316" s="271"/>
      <c r="F316" s="271">
        <f>F317</f>
        <v>0</v>
      </c>
      <c r="G316" s="271">
        <f>G317</f>
        <v>1850.8</v>
      </c>
      <c r="H316" s="345"/>
      <c r="I316" s="271">
        <f>I317</f>
        <v>1850.8</v>
      </c>
      <c r="J316" s="271">
        <f>J317</f>
        <v>0</v>
      </c>
      <c r="K316" s="271"/>
      <c r="L316" s="271">
        <f>L317</f>
        <v>0</v>
      </c>
    </row>
    <row r="317" spans="1:12" ht="26.4" x14ac:dyDescent="0.25">
      <c r="A317" s="142"/>
      <c r="B317" s="7" t="s">
        <v>57</v>
      </c>
      <c r="C317" s="6" t="s">
        <v>56</v>
      </c>
      <c r="D317" s="271">
        <v>0</v>
      </c>
      <c r="E317" s="271"/>
      <c r="F317" s="271">
        <v>0</v>
      </c>
      <c r="G317" s="271">
        <v>1850.8</v>
      </c>
      <c r="H317" s="345"/>
      <c r="I317" s="271">
        <v>1850.8</v>
      </c>
      <c r="J317" s="271">
        <v>0</v>
      </c>
      <c r="K317" s="271"/>
      <c r="L317" s="271">
        <v>0</v>
      </c>
    </row>
    <row r="318" spans="1:12" s="1" customFormat="1" ht="53.4" x14ac:dyDescent="0.3">
      <c r="A318" s="242" t="s">
        <v>498</v>
      </c>
      <c r="B318" s="242"/>
      <c r="C318" s="245" t="s">
        <v>497</v>
      </c>
      <c r="D318" s="268">
        <f>D319+D325</f>
        <v>865.3</v>
      </c>
      <c r="E318" s="268"/>
      <c r="F318" s="268">
        <f>F319+F325</f>
        <v>865.3</v>
      </c>
      <c r="G318" s="268">
        <f>G319+G325</f>
        <v>865.3</v>
      </c>
      <c r="H318" s="348"/>
      <c r="I318" s="268">
        <f>I319+I325</f>
        <v>865.3</v>
      </c>
      <c r="J318" s="268">
        <f>J319+J325</f>
        <v>623.29999999999995</v>
      </c>
      <c r="K318" s="268"/>
      <c r="L318" s="268">
        <f>L319+L325</f>
        <v>623.29999999999995</v>
      </c>
    </row>
    <row r="319" spans="1:12" s="1" customFormat="1" ht="65.25" customHeight="1" x14ac:dyDescent="0.3">
      <c r="A319" s="31" t="s">
        <v>496</v>
      </c>
      <c r="B319" s="31"/>
      <c r="C319" s="52" t="s">
        <v>741</v>
      </c>
      <c r="D319" s="269">
        <f>D320</f>
        <v>538.19999999999993</v>
      </c>
      <c r="E319" s="269"/>
      <c r="F319" s="269">
        <f>F320</f>
        <v>538.19999999999993</v>
      </c>
      <c r="G319" s="269">
        <f>G320</f>
        <v>538.19999999999993</v>
      </c>
      <c r="H319" s="349"/>
      <c r="I319" s="269">
        <f>I320</f>
        <v>538.19999999999993</v>
      </c>
      <c r="J319" s="269">
        <f>J320</f>
        <v>296.2</v>
      </c>
      <c r="K319" s="269"/>
      <c r="L319" s="269">
        <f>L320</f>
        <v>296.2</v>
      </c>
    </row>
    <row r="320" spans="1:12" s="1" customFormat="1" ht="61.5" customHeight="1" x14ac:dyDescent="0.3">
      <c r="A320" s="223" t="s">
        <v>495</v>
      </c>
      <c r="B320" s="231"/>
      <c r="C320" s="224" t="s">
        <v>742</v>
      </c>
      <c r="D320" s="270">
        <f>D321+D323</f>
        <v>538.19999999999993</v>
      </c>
      <c r="E320" s="270"/>
      <c r="F320" s="270">
        <f>F321+F323</f>
        <v>538.19999999999993</v>
      </c>
      <c r="G320" s="270">
        <f>G321+G323</f>
        <v>538.19999999999993</v>
      </c>
      <c r="H320" s="350"/>
      <c r="I320" s="270">
        <f>I321+I323</f>
        <v>538.19999999999993</v>
      </c>
      <c r="J320" s="270">
        <f>J321+J323</f>
        <v>296.2</v>
      </c>
      <c r="K320" s="270"/>
      <c r="L320" s="270">
        <f>L321+L323</f>
        <v>296.2</v>
      </c>
    </row>
    <row r="321" spans="1:12" s="1" customFormat="1" ht="53.4" x14ac:dyDescent="0.3">
      <c r="A321" s="7" t="s">
        <v>494</v>
      </c>
      <c r="B321" s="7"/>
      <c r="C321" s="6" t="s">
        <v>493</v>
      </c>
      <c r="D321" s="271">
        <f>D322</f>
        <v>7.4</v>
      </c>
      <c r="E321" s="271"/>
      <c r="F321" s="271">
        <f>F322</f>
        <v>7.4</v>
      </c>
      <c r="G321" s="271">
        <f>G322</f>
        <v>7.4</v>
      </c>
      <c r="H321" s="345"/>
      <c r="I321" s="271">
        <f>I322</f>
        <v>7.4</v>
      </c>
      <c r="J321" s="271">
        <f>J322</f>
        <v>7.4</v>
      </c>
      <c r="K321" s="271"/>
      <c r="L321" s="271">
        <f>L322</f>
        <v>7.4</v>
      </c>
    </row>
    <row r="322" spans="1:12" s="1" customFormat="1" ht="27" x14ac:dyDescent="0.3">
      <c r="A322" s="7"/>
      <c r="B322" s="7" t="s">
        <v>12</v>
      </c>
      <c r="C322" s="6" t="s">
        <v>11</v>
      </c>
      <c r="D322" s="271">
        <v>7.4</v>
      </c>
      <c r="E322" s="271"/>
      <c r="F322" s="271">
        <v>7.4</v>
      </c>
      <c r="G322" s="271">
        <v>7.4</v>
      </c>
      <c r="H322" s="345"/>
      <c r="I322" s="271">
        <v>7.4</v>
      </c>
      <c r="J322" s="271">
        <v>7.4</v>
      </c>
      <c r="K322" s="271"/>
      <c r="L322" s="271">
        <v>7.4</v>
      </c>
    </row>
    <row r="323" spans="1:12" s="1" customFormat="1" ht="79.8" x14ac:dyDescent="0.3">
      <c r="A323" s="7" t="s">
        <v>492</v>
      </c>
      <c r="B323" s="7"/>
      <c r="C323" s="6" t="s">
        <v>491</v>
      </c>
      <c r="D323" s="271">
        <f>D324</f>
        <v>530.79999999999995</v>
      </c>
      <c r="E323" s="271"/>
      <c r="F323" s="271">
        <f>F324</f>
        <v>530.79999999999995</v>
      </c>
      <c r="G323" s="271">
        <f>G324</f>
        <v>530.79999999999995</v>
      </c>
      <c r="H323" s="345"/>
      <c r="I323" s="271">
        <f>I324</f>
        <v>530.79999999999995</v>
      </c>
      <c r="J323" s="271">
        <f>J324</f>
        <v>288.8</v>
      </c>
      <c r="K323" s="271"/>
      <c r="L323" s="271">
        <f>L324</f>
        <v>288.8</v>
      </c>
    </row>
    <row r="324" spans="1:12" s="1" customFormat="1" ht="27" x14ac:dyDescent="0.3">
      <c r="A324" s="7"/>
      <c r="B324" s="7" t="s">
        <v>12</v>
      </c>
      <c r="C324" s="6" t="s">
        <v>11</v>
      </c>
      <c r="D324" s="271">
        <v>530.79999999999995</v>
      </c>
      <c r="E324" s="271"/>
      <c r="F324" s="271">
        <v>530.79999999999995</v>
      </c>
      <c r="G324" s="271">
        <v>530.79999999999995</v>
      </c>
      <c r="H324" s="345"/>
      <c r="I324" s="271">
        <v>530.79999999999995</v>
      </c>
      <c r="J324" s="271">
        <v>288.8</v>
      </c>
      <c r="K324" s="271"/>
      <c r="L324" s="271">
        <v>288.8</v>
      </c>
    </row>
    <row r="325" spans="1:12" s="1" customFormat="1" ht="40.5" customHeight="1" x14ac:dyDescent="0.3">
      <c r="A325" s="31" t="s">
        <v>490</v>
      </c>
      <c r="B325" s="31"/>
      <c r="C325" s="52" t="s">
        <v>489</v>
      </c>
      <c r="D325" s="269">
        <f>D326</f>
        <v>327.10000000000002</v>
      </c>
      <c r="E325" s="269"/>
      <c r="F325" s="269">
        <f>F326</f>
        <v>327.10000000000002</v>
      </c>
      <c r="G325" s="269">
        <f>G326</f>
        <v>327.10000000000002</v>
      </c>
      <c r="H325" s="349"/>
      <c r="I325" s="269">
        <f>I326</f>
        <v>327.10000000000002</v>
      </c>
      <c r="J325" s="269">
        <f>J326</f>
        <v>327.10000000000002</v>
      </c>
      <c r="K325" s="269"/>
      <c r="L325" s="269">
        <f>L326</f>
        <v>327.10000000000002</v>
      </c>
    </row>
    <row r="326" spans="1:12" s="1" customFormat="1" ht="53.4" x14ac:dyDescent="0.3">
      <c r="A326" s="223" t="s">
        <v>488</v>
      </c>
      <c r="B326" s="231"/>
      <c r="C326" s="224" t="s">
        <v>650</v>
      </c>
      <c r="D326" s="270">
        <f>D327+D332+D335</f>
        <v>327.10000000000002</v>
      </c>
      <c r="E326" s="270"/>
      <c r="F326" s="270">
        <f>F327+F332+F335</f>
        <v>327.10000000000002</v>
      </c>
      <c r="G326" s="270">
        <f>G327+G332+G335</f>
        <v>327.10000000000002</v>
      </c>
      <c r="H326" s="350"/>
      <c r="I326" s="270">
        <f>I327+I332+I335</f>
        <v>327.10000000000002</v>
      </c>
      <c r="J326" s="270">
        <f>J327+J332+J335</f>
        <v>327.10000000000002</v>
      </c>
      <c r="K326" s="270"/>
      <c r="L326" s="270">
        <f>L327+L332+L335</f>
        <v>327.10000000000002</v>
      </c>
    </row>
    <row r="327" spans="1:12" s="1" customFormat="1" ht="27" x14ac:dyDescent="0.3">
      <c r="A327" s="7" t="s">
        <v>486</v>
      </c>
      <c r="B327" s="7"/>
      <c r="C327" s="116" t="s">
        <v>762</v>
      </c>
      <c r="D327" s="271">
        <f>D328+D331</f>
        <v>267.60000000000002</v>
      </c>
      <c r="E327" s="271"/>
      <c r="F327" s="271">
        <f>F328+F331</f>
        <v>267.60000000000002</v>
      </c>
      <c r="G327" s="271">
        <f>G328+G331</f>
        <v>267.60000000000002</v>
      </c>
      <c r="H327" s="345"/>
      <c r="I327" s="271">
        <f>I328+I331</f>
        <v>267.60000000000002</v>
      </c>
      <c r="J327" s="271">
        <f>J328+J331</f>
        <v>267.60000000000002</v>
      </c>
      <c r="K327" s="271"/>
      <c r="L327" s="271">
        <f>L328+L331</f>
        <v>267.60000000000002</v>
      </c>
    </row>
    <row r="328" spans="1:12" s="1" customFormat="1" ht="66.599999999999994" x14ac:dyDescent="0.3">
      <c r="A328" s="7"/>
      <c r="B328" s="7" t="s">
        <v>2</v>
      </c>
      <c r="C328" s="6" t="s">
        <v>1</v>
      </c>
      <c r="D328" s="271">
        <f>D329+D330</f>
        <v>248.5</v>
      </c>
      <c r="E328" s="271"/>
      <c r="F328" s="271">
        <f>F329+F330</f>
        <v>248.5</v>
      </c>
      <c r="G328" s="271">
        <f>G329+G330</f>
        <v>248.5</v>
      </c>
      <c r="H328" s="345"/>
      <c r="I328" s="271">
        <f>I329+I330</f>
        <v>248.5</v>
      </c>
      <c r="J328" s="271">
        <f>J329+J330</f>
        <v>248.5</v>
      </c>
      <c r="K328" s="271"/>
      <c r="L328" s="271">
        <f>L329+L330</f>
        <v>248.5</v>
      </c>
    </row>
    <row r="329" spans="1:12" s="1" customFormat="1" ht="14.4" x14ac:dyDescent="0.3">
      <c r="A329" s="7"/>
      <c r="B329" s="7"/>
      <c r="C329" s="6" t="s">
        <v>165</v>
      </c>
      <c r="D329" s="271">
        <v>86.1</v>
      </c>
      <c r="E329" s="271"/>
      <c r="F329" s="271">
        <v>86.1</v>
      </c>
      <c r="G329" s="271">
        <v>86.1</v>
      </c>
      <c r="H329" s="345"/>
      <c r="I329" s="271">
        <v>86.1</v>
      </c>
      <c r="J329" s="271">
        <v>86.1</v>
      </c>
      <c r="K329" s="271"/>
      <c r="L329" s="271">
        <v>86.1</v>
      </c>
    </row>
    <row r="330" spans="1:12" s="1" customFormat="1" ht="14.4" x14ac:dyDescent="0.3">
      <c r="A330" s="7"/>
      <c r="B330" s="7"/>
      <c r="C330" s="6" t="s">
        <v>164</v>
      </c>
      <c r="D330" s="271">
        <v>162.4</v>
      </c>
      <c r="E330" s="271"/>
      <c r="F330" s="271">
        <v>162.4</v>
      </c>
      <c r="G330" s="271">
        <v>162.4</v>
      </c>
      <c r="H330" s="345"/>
      <c r="I330" s="271">
        <v>162.4</v>
      </c>
      <c r="J330" s="271">
        <v>162.4</v>
      </c>
      <c r="K330" s="271"/>
      <c r="L330" s="271">
        <v>162.4</v>
      </c>
    </row>
    <row r="331" spans="1:12" s="1" customFormat="1" ht="27" x14ac:dyDescent="0.3">
      <c r="A331" s="7"/>
      <c r="B331" s="7" t="s">
        <v>12</v>
      </c>
      <c r="C331" s="6" t="s">
        <v>11</v>
      </c>
      <c r="D331" s="271">
        <v>19.100000000000001</v>
      </c>
      <c r="E331" s="271"/>
      <c r="F331" s="271">
        <v>19.100000000000001</v>
      </c>
      <c r="G331" s="271">
        <v>19.100000000000001</v>
      </c>
      <c r="H331" s="345"/>
      <c r="I331" s="271">
        <v>19.100000000000001</v>
      </c>
      <c r="J331" s="271">
        <v>19.100000000000001</v>
      </c>
      <c r="K331" s="271"/>
      <c r="L331" s="271">
        <v>19.100000000000001</v>
      </c>
    </row>
    <row r="332" spans="1:12" s="1" customFormat="1" ht="40.200000000000003" x14ac:dyDescent="0.3">
      <c r="A332" s="7" t="s">
        <v>485</v>
      </c>
      <c r="B332" s="7"/>
      <c r="C332" s="6" t="s">
        <v>763</v>
      </c>
      <c r="D332" s="271">
        <f>D333+D334</f>
        <v>35.5</v>
      </c>
      <c r="E332" s="271"/>
      <c r="F332" s="271">
        <f>F333+F334</f>
        <v>35.5</v>
      </c>
      <c r="G332" s="271">
        <f>G333+G334</f>
        <v>35.5</v>
      </c>
      <c r="H332" s="345"/>
      <c r="I332" s="271">
        <f>I333+I334</f>
        <v>35.5</v>
      </c>
      <c r="J332" s="271">
        <f>J333+J334</f>
        <v>35.5</v>
      </c>
      <c r="K332" s="271"/>
      <c r="L332" s="271">
        <f>L333+L334</f>
        <v>35.5</v>
      </c>
    </row>
    <row r="333" spans="1:12" s="1" customFormat="1" ht="27" x14ac:dyDescent="0.3">
      <c r="A333" s="7"/>
      <c r="B333" s="7" t="s">
        <v>12</v>
      </c>
      <c r="C333" s="6" t="s">
        <v>11</v>
      </c>
      <c r="D333" s="271">
        <v>29.5</v>
      </c>
      <c r="E333" s="271"/>
      <c r="F333" s="271">
        <v>29.5</v>
      </c>
      <c r="G333" s="271">
        <v>29.5</v>
      </c>
      <c r="H333" s="345"/>
      <c r="I333" s="271">
        <v>29.5</v>
      </c>
      <c r="J333" s="271">
        <v>29.5</v>
      </c>
      <c r="K333" s="271"/>
      <c r="L333" s="271">
        <v>29.5</v>
      </c>
    </row>
    <row r="334" spans="1:12" s="1" customFormat="1" ht="27" x14ac:dyDescent="0.3">
      <c r="A334" s="7"/>
      <c r="B334" s="7" t="s">
        <v>57</v>
      </c>
      <c r="C334" s="6" t="s">
        <v>56</v>
      </c>
      <c r="D334" s="271">
        <v>6</v>
      </c>
      <c r="E334" s="271"/>
      <c r="F334" s="271">
        <v>6</v>
      </c>
      <c r="G334" s="271">
        <v>6</v>
      </c>
      <c r="H334" s="345"/>
      <c r="I334" s="271">
        <v>6</v>
      </c>
      <c r="J334" s="271">
        <v>6</v>
      </c>
      <c r="K334" s="271"/>
      <c r="L334" s="271">
        <v>6</v>
      </c>
    </row>
    <row r="335" spans="1:12" s="1" customFormat="1" ht="14.4" x14ac:dyDescent="0.3">
      <c r="A335" s="7" t="s">
        <v>484</v>
      </c>
      <c r="B335" s="7"/>
      <c r="C335" s="6" t="s">
        <v>483</v>
      </c>
      <c r="D335" s="271">
        <f>D336</f>
        <v>24</v>
      </c>
      <c r="E335" s="271"/>
      <c r="F335" s="271">
        <f>F336</f>
        <v>24</v>
      </c>
      <c r="G335" s="271">
        <f>G336</f>
        <v>24</v>
      </c>
      <c r="H335" s="345"/>
      <c r="I335" s="271">
        <f>I336</f>
        <v>24</v>
      </c>
      <c r="J335" s="271">
        <f>J336</f>
        <v>24</v>
      </c>
      <c r="K335" s="271"/>
      <c r="L335" s="271">
        <f>L336</f>
        <v>24</v>
      </c>
    </row>
    <row r="336" spans="1:12" s="1" customFormat="1" ht="27" x14ac:dyDescent="0.3">
      <c r="A336" s="7"/>
      <c r="B336" s="7" t="s">
        <v>57</v>
      </c>
      <c r="C336" s="6" t="s">
        <v>56</v>
      </c>
      <c r="D336" s="271">
        <v>24</v>
      </c>
      <c r="E336" s="271"/>
      <c r="F336" s="271">
        <v>24</v>
      </c>
      <c r="G336" s="271">
        <v>24</v>
      </c>
      <c r="H336" s="345"/>
      <c r="I336" s="271">
        <v>24</v>
      </c>
      <c r="J336" s="271">
        <v>24</v>
      </c>
      <c r="K336" s="271"/>
      <c r="L336" s="271">
        <v>24</v>
      </c>
    </row>
    <row r="337" spans="1:12" s="1" customFormat="1" ht="40.200000000000003" x14ac:dyDescent="0.3">
      <c r="A337" s="242" t="s">
        <v>412</v>
      </c>
      <c r="B337" s="242"/>
      <c r="C337" s="245" t="s">
        <v>411</v>
      </c>
      <c r="D337" s="268">
        <f>D338+D351</f>
        <v>377</v>
      </c>
      <c r="E337" s="268">
        <f>E338+E351</f>
        <v>0</v>
      </c>
      <c r="F337" s="268">
        <f>F338+F351</f>
        <v>377</v>
      </c>
      <c r="G337" s="268">
        <f>G338+G351</f>
        <v>309</v>
      </c>
      <c r="H337" s="348"/>
      <c r="I337" s="268">
        <f>I338+I351</f>
        <v>309</v>
      </c>
      <c r="J337" s="268">
        <f>J338+J351</f>
        <v>309</v>
      </c>
      <c r="K337" s="268"/>
      <c r="L337" s="268">
        <f>L338+L351</f>
        <v>309</v>
      </c>
    </row>
    <row r="338" spans="1:12" s="1" customFormat="1" ht="40.200000000000003" x14ac:dyDescent="0.3">
      <c r="A338" s="31" t="s">
        <v>410</v>
      </c>
      <c r="B338" s="31"/>
      <c r="C338" s="83" t="s">
        <v>409</v>
      </c>
      <c r="D338" s="269">
        <f>D339+D344</f>
        <v>117.2</v>
      </c>
      <c r="E338" s="269">
        <f>E339+E344+E347</f>
        <v>0</v>
      </c>
      <c r="F338" s="269">
        <f>F339+F344+F347</f>
        <v>117.2</v>
      </c>
      <c r="G338" s="269">
        <f>G339+G344</f>
        <v>49.2</v>
      </c>
      <c r="H338" s="349"/>
      <c r="I338" s="269">
        <f>I339+I344</f>
        <v>49.2</v>
      </c>
      <c r="J338" s="269">
        <f>J339+J344</f>
        <v>49.2</v>
      </c>
      <c r="K338" s="269"/>
      <c r="L338" s="269">
        <f>L339+L344</f>
        <v>49.2</v>
      </c>
    </row>
    <row r="339" spans="1:12" s="1" customFormat="1" ht="40.200000000000003" x14ac:dyDescent="0.3">
      <c r="A339" s="223" t="s">
        <v>408</v>
      </c>
      <c r="B339" s="231"/>
      <c r="C339" s="236" t="s">
        <v>407</v>
      </c>
      <c r="D339" s="270">
        <f>D340+D342</f>
        <v>49.2</v>
      </c>
      <c r="E339" s="270"/>
      <c r="F339" s="270">
        <f>F340+F342</f>
        <v>49.2</v>
      </c>
      <c r="G339" s="270">
        <f>G340+G342</f>
        <v>49.2</v>
      </c>
      <c r="H339" s="350"/>
      <c r="I339" s="270">
        <f>I340+I342</f>
        <v>49.2</v>
      </c>
      <c r="J339" s="270">
        <f>J340+J342</f>
        <v>49.2</v>
      </c>
      <c r="K339" s="270"/>
      <c r="L339" s="270">
        <f>L340+L342</f>
        <v>49.2</v>
      </c>
    </row>
    <row r="340" spans="1:12" s="1" customFormat="1" ht="27" x14ac:dyDescent="0.3">
      <c r="A340" s="7" t="s">
        <v>406</v>
      </c>
      <c r="B340" s="7"/>
      <c r="C340" s="103" t="s">
        <v>405</v>
      </c>
      <c r="D340" s="271">
        <f>D341</f>
        <v>19.2</v>
      </c>
      <c r="E340" s="271"/>
      <c r="F340" s="271">
        <f>F341</f>
        <v>19.2</v>
      </c>
      <c r="G340" s="271">
        <f>G341</f>
        <v>19.2</v>
      </c>
      <c r="H340" s="345"/>
      <c r="I340" s="271">
        <f>I341</f>
        <v>19.2</v>
      </c>
      <c r="J340" s="271">
        <f>J341</f>
        <v>19.2</v>
      </c>
      <c r="K340" s="271"/>
      <c r="L340" s="271">
        <f>L341</f>
        <v>19.2</v>
      </c>
    </row>
    <row r="341" spans="1:12" s="1" customFormat="1" ht="27" x14ac:dyDescent="0.3">
      <c r="A341" s="7"/>
      <c r="B341" s="7" t="s">
        <v>12</v>
      </c>
      <c r="C341" s="6" t="s">
        <v>11</v>
      </c>
      <c r="D341" s="271">
        <v>19.2</v>
      </c>
      <c r="E341" s="271"/>
      <c r="F341" s="271">
        <v>19.2</v>
      </c>
      <c r="G341" s="271">
        <v>19.2</v>
      </c>
      <c r="H341" s="345"/>
      <c r="I341" s="271">
        <v>19.2</v>
      </c>
      <c r="J341" s="271">
        <v>19.2</v>
      </c>
      <c r="K341" s="271"/>
      <c r="L341" s="271">
        <v>19.2</v>
      </c>
    </row>
    <row r="342" spans="1:12" s="1" customFormat="1" ht="14.4" x14ac:dyDescent="0.3">
      <c r="A342" s="7" t="s">
        <v>404</v>
      </c>
      <c r="B342" s="7"/>
      <c r="C342" s="103" t="s">
        <v>403</v>
      </c>
      <c r="D342" s="271">
        <f>D343</f>
        <v>30</v>
      </c>
      <c r="E342" s="271"/>
      <c r="F342" s="271">
        <f>F343</f>
        <v>30</v>
      </c>
      <c r="G342" s="271">
        <f>G343</f>
        <v>30</v>
      </c>
      <c r="H342" s="345"/>
      <c r="I342" s="271">
        <f>I343</f>
        <v>30</v>
      </c>
      <c r="J342" s="271">
        <f>J343</f>
        <v>30</v>
      </c>
      <c r="K342" s="271"/>
      <c r="L342" s="271">
        <f>L343</f>
        <v>30</v>
      </c>
    </row>
    <row r="343" spans="1:12" s="1" customFormat="1" ht="27" x14ac:dyDescent="0.3">
      <c r="A343" s="7"/>
      <c r="B343" s="7" t="s">
        <v>12</v>
      </c>
      <c r="C343" s="6" t="s">
        <v>11</v>
      </c>
      <c r="D343" s="271">
        <v>30</v>
      </c>
      <c r="E343" s="271"/>
      <c r="F343" s="271">
        <v>30</v>
      </c>
      <c r="G343" s="271">
        <v>30</v>
      </c>
      <c r="H343" s="345"/>
      <c r="I343" s="271">
        <v>30</v>
      </c>
      <c r="J343" s="271">
        <v>30</v>
      </c>
      <c r="K343" s="271"/>
      <c r="L343" s="271">
        <v>30</v>
      </c>
    </row>
    <row r="344" spans="1:12" s="1" customFormat="1" ht="53.4" x14ac:dyDescent="0.3">
      <c r="A344" s="223" t="s">
        <v>603</v>
      </c>
      <c r="B344" s="223"/>
      <c r="C344" s="224" t="s">
        <v>604</v>
      </c>
      <c r="D344" s="270">
        <f t="shared" ref="D344:G345" si="38">D345</f>
        <v>68</v>
      </c>
      <c r="E344" s="270">
        <f t="shared" si="38"/>
        <v>-52.797190000000001</v>
      </c>
      <c r="F344" s="270">
        <f t="shared" si="38"/>
        <v>15.202809999999999</v>
      </c>
      <c r="G344" s="270">
        <f t="shared" si="38"/>
        <v>0</v>
      </c>
      <c r="H344" s="350"/>
      <c r="I344" s="270">
        <f>I345</f>
        <v>0</v>
      </c>
      <c r="J344" s="270">
        <f>J345</f>
        <v>0</v>
      </c>
      <c r="K344" s="270"/>
      <c r="L344" s="270">
        <f>L345</f>
        <v>0</v>
      </c>
    </row>
    <row r="345" spans="1:12" s="1" customFormat="1" ht="27" x14ac:dyDescent="0.3">
      <c r="A345" s="7" t="s">
        <v>743</v>
      </c>
      <c r="B345" s="7"/>
      <c r="C345" s="6" t="s">
        <v>605</v>
      </c>
      <c r="D345" s="271">
        <f t="shared" si="38"/>
        <v>68</v>
      </c>
      <c r="E345" s="271">
        <f t="shared" si="38"/>
        <v>-52.797190000000001</v>
      </c>
      <c r="F345" s="271">
        <f t="shared" si="38"/>
        <v>15.202809999999999</v>
      </c>
      <c r="G345" s="271">
        <f t="shared" si="38"/>
        <v>0</v>
      </c>
      <c r="H345" s="345"/>
      <c r="I345" s="271">
        <f>I346</f>
        <v>0</v>
      </c>
      <c r="J345" s="271">
        <f>J346</f>
        <v>0</v>
      </c>
      <c r="K345" s="271"/>
      <c r="L345" s="271">
        <f>L346</f>
        <v>0</v>
      </c>
    </row>
    <row r="346" spans="1:12" s="1" customFormat="1" ht="27" x14ac:dyDescent="0.3">
      <c r="A346" s="7"/>
      <c r="B346" s="7" t="s">
        <v>12</v>
      </c>
      <c r="C346" s="6" t="s">
        <v>11</v>
      </c>
      <c r="D346" s="271">
        <v>68</v>
      </c>
      <c r="E346" s="271">
        <v>-52.797190000000001</v>
      </c>
      <c r="F346" s="271">
        <f>SUM(D346:E346)</f>
        <v>15.202809999999999</v>
      </c>
      <c r="G346" s="271">
        <v>0</v>
      </c>
      <c r="H346" s="345"/>
      <c r="I346" s="271">
        <v>0</v>
      </c>
      <c r="J346" s="271">
        <v>0</v>
      </c>
      <c r="K346" s="271"/>
      <c r="L346" s="271">
        <v>0</v>
      </c>
    </row>
    <row r="347" spans="1:12" s="1" customFormat="1" ht="27" x14ac:dyDescent="0.3">
      <c r="A347" s="223" t="s">
        <v>873</v>
      </c>
      <c r="B347" s="223"/>
      <c r="C347" s="224" t="s">
        <v>874</v>
      </c>
      <c r="D347" s="270">
        <f>D348</f>
        <v>0</v>
      </c>
      <c r="E347" s="270">
        <f>E348</f>
        <v>52.797190000000001</v>
      </c>
      <c r="F347" s="270">
        <f t="shared" ref="F347:L347" si="39">F348</f>
        <v>52.797190000000001</v>
      </c>
      <c r="G347" s="270">
        <f t="shared" si="39"/>
        <v>0</v>
      </c>
      <c r="H347" s="270"/>
      <c r="I347" s="270">
        <f t="shared" si="39"/>
        <v>0</v>
      </c>
      <c r="J347" s="270">
        <f t="shared" si="39"/>
        <v>0</v>
      </c>
      <c r="K347" s="270"/>
      <c r="L347" s="270">
        <f t="shared" si="39"/>
        <v>0</v>
      </c>
    </row>
    <row r="348" spans="1:12" s="1" customFormat="1" ht="14.4" x14ac:dyDescent="0.3">
      <c r="A348" s="362" t="s">
        <v>875</v>
      </c>
      <c r="B348" s="362"/>
      <c r="C348" s="365" t="s">
        <v>876</v>
      </c>
      <c r="D348" s="364">
        <f>D349</f>
        <v>0</v>
      </c>
      <c r="E348" s="364">
        <f>E349</f>
        <v>52.797190000000001</v>
      </c>
      <c r="F348" s="364">
        <f>F349</f>
        <v>52.797190000000001</v>
      </c>
      <c r="G348" s="364">
        <f>G349</f>
        <v>0</v>
      </c>
      <c r="H348" s="364"/>
      <c r="I348" s="364">
        <f>I349</f>
        <v>0</v>
      </c>
      <c r="J348" s="364">
        <f>J349</f>
        <v>0</v>
      </c>
      <c r="K348" s="364"/>
      <c r="L348" s="364">
        <f>L349</f>
        <v>0</v>
      </c>
    </row>
    <row r="349" spans="1:12" s="1" customFormat="1" ht="27" x14ac:dyDescent="0.3">
      <c r="A349" s="362"/>
      <c r="B349" s="7" t="s">
        <v>12</v>
      </c>
      <c r="C349" s="6" t="s">
        <v>11</v>
      </c>
      <c r="D349" s="364">
        <v>0</v>
      </c>
      <c r="E349" s="271">
        <v>52.797190000000001</v>
      </c>
      <c r="F349" s="271">
        <v>52.797190000000001</v>
      </c>
      <c r="G349" s="364">
        <v>0</v>
      </c>
      <c r="H349" s="364"/>
      <c r="I349" s="364">
        <v>0</v>
      </c>
      <c r="J349" s="364">
        <v>0</v>
      </c>
      <c r="K349" s="364"/>
      <c r="L349" s="364">
        <v>0</v>
      </c>
    </row>
    <row r="350" spans="1:12" s="1" customFormat="1" ht="14.4" x14ac:dyDescent="0.3">
      <c r="A350" s="362"/>
      <c r="B350" s="362"/>
      <c r="C350" s="102" t="s">
        <v>332</v>
      </c>
      <c r="D350" s="364">
        <v>0</v>
      </c>
      <c r="E350" s="271">
        <v>52.797190000000001</v>
      </c>
      <c r="F350" s="271">
        <v>52.797190000000001</v>
      </c>
      <c r="G350" s="364">
        <v>0</v>
      </c>
      <c r="H350" s="364"/>
      <c r="I350" s="364">
        <v>0</v>
      </c>
      <c r="J350" s="364">
        <v>0</v>
      </c>
      <c r="K350" s="364"/>
      <c r="L350" s="364">
        <v>0</v>
      </c>
    </row>
    <row r="351" spans="1:12" s="1" customFormat="1" ht="40.200000000000003" x14ac:dyDescent="0.3">
      <c r="A351" s="31" t="s">
        <v>473</v>
      </c>
      <c r="B351" s="31"/>
      <c r="C351" s="83" t="s">
        <v>472</v>
      </c>
      <c r="D351" s="269">
        <f>D352+D355</f>
        <v>259.8</v>
      </c>
      <c r="E351" s="269"/>
      <c r="F351" s="269">
        <f>F352+F355</f>
        <v>259.8</v>
      </c>
      <c r="G351" s="269">
        <f>G352+G355</f>
        <v>259.8</v>
      </c>
      <c r="H351" s="349"/>
      <c r="I351" s="269">
        <f>I352+I355</f>
        <v>259.8</v>
      </c>
      <c r="J351" s="269">
        <f>J352+J355</f>
        <v>259.8</v>
      </c>
      <c r="K351" s="269"/>
      <c r="L351" s="269">
        <f>L352+L355</f>
        <v>259.8</v>
      </c>
    </row>
    <row r="352" spans="1:12" s="1" customFormat="1" ht="27" x14ac:dyDescent="0.3">
      <c r="A352" s="223" t="s">
        <v>471</v>
      </c>
      <c r="B352" s="223"/>
      <c r="C352" s="236" t="s">
        <v>470</v>
      </c>
      <c r="D352" s="270">
        <f t="shared" ref="D352:L353" si="40">D353</f>
        <v>124</v>
      </c>
      <c r="E352" s="270"/>
      <c r="F352" s="270">
        <f t="shared" si="40"/>
        <v>124</v>
      </c>
      <c r="G352" s="270">
        <f t="shared" si="40"/>
        <v>124</v>
      </c>
      <c r="H352" s="350"/>
      <c r="I352" s="270">
        <f t="shared" si="40"/>
        <v>124</v>
      </c>
      <c r="J352" s="270">
        <f t="shared" si="40"/>
        <v>124</v>
      </c>
      <c r="K352" s="270"/>
      <c r="L352" s="270">
        <f t="shared" si="40"/>
        <v>124</v>
      </c>
    </row>
    <row r="353" spans="1:12" s="1" customFormat="1" ht="14.4" x14ac:dyDescent="0.3">
      <c r="A353" s="7" t="s">
        <v>469</v>
      </c>
      <c r="B353" s="7"/>
      <c r="C353" s="103" t="s">
        <v>468</v>
      </c>
      <c r="D353" s="271">
        <f t="shared" si="40"/>
        <v>124</v>
      </c>
      <c r="E353" s="271"/>
      <c r="F353" s="271">
        <f t="shared" si="40"/>
        <v>124</v>
      </c>
      <c r="G353" s="271">
        <f t="shared" si="40"/>
        <v>124</v>
      </c>
      <c r="H353" s="345"/>
      <c r="I353" s="271">
        <f t="shared" si="40"/>
        <v>124</v>
      </c>
      <c r="J353" s="271">
        <f t="shared" si="40"/>
        <v>124</v>
      </c>
      <c r="K353" s="271"/>
      <c r="L353" s="271">
        <f t="shared" si="40"/>
        <v>124</v>
      </c>
    </row>
    <row r="354" spans="1:12" s="1" customFormat="1" ht="27" x14ac:dyDescent="0.3">
      <c r="A354" s="7"/>
      <c r="B354" s="7" t="s">
        <v>12</v>
      </c>
      <c r="C354" s="6" t="s">
        <v>11</v>
      </c>
      <c r="D354" s="271">
        <v>124</v>
      </c>
      <c r="E354" s="271"/>
      <c r="F354" s="271">
        <v>124</v>
      </c>
      <c r="G354" s="271">
        <v>124</v>
      </c>
      <c r="H354" s="345"/>
      <c r="I354" s="271">
        <v>124</v>
      </c>
      <c r="J354" s="271">
        <v>124</v>
      </c>
      <c r="K354" s="271"/>
      <c r="L354" s="271">
        <v>124</v>
      </c>
    </row>
    <row r="355" spans="1:12" s="1" customFormat="1" ht="27" x14ac:dyDescent="0.3">
      <c r="A355" s="223" t="s">
        <v>467</v>
      </c>
      <c r="B355" s="223"/>
      <c r="C355" s="236" t="s">
        <v>466</v>
      </c>
      <c r="D355" s="270">
        <f>D356+D358+D360+D362</f>
        <v>135.80000000000001</v>
      </c>
      <c r="E355" s="270"/>
      <c r="F355" s="270">
        <f>F356+F358+F360+F362</f>
        <v>135.80000000000001</v>
      </c>
      <c r="G355" s="270">
        <f>G356+G358+G360+G362</f>
        <v>135.80000000000001</v>
      </c>
      <c r="H355" s="350"/>
      <c r="I355" s="270">
        <f>I356+I358+I360+I362</f>
        <v>135.80000000000001</v>
      </c>
      <c r="J355" s="270">
        <f>J356+J358+J360+J362</f>
        <v>135.80000000000001</v>
      </c>
      <c r="K355" s="270"/>
      <c r="L355" s="270">
        <f>L356+L358+L360+L362</f>
        <v>135.80000000000001</v>
      </c>
    </row>
    <row r="356" spans="1:12" s="1" customFormat="1" ht="40.200000000000003" x14ac:dyDescent="0.3">
      <c r="A356" s="7" t="s">
        <v>465</v>
      </c>
      <c r="B356" s="7"/>
      <c r="C356" s="103" t="s">
        <v>464</v>
      </c>
      <c r="D356" s="271">
        <f>D357</f>
        <v>40.4</v>
      </c>
      <c r="E356" s="271"/>
      <c r="F356" s="271">
        <f>F357</f>
        <v>40.4</v>
      </c>
      <c r="G356" s="271">
        <f>G357</f>
        <v>40.4</v>
      </c>
      <c r="H356" s="345"/>
      <c r="I356" s="271">
        <f>I357</f>
        <v>40.4</v>
      </c>
      <c r="J356" s="271">
        <f>J357</f>
        <v>40.4</v>
      </c>
      <c r="K356" s="271"/>
      <c r="L356" s="271">
        <f>L357</f>
        <v>40.4</v>
      </c>
    </row>
    <row r="357" spans="1:12" s="1" customFormat="1" ht="27" x14ac:dyDescent="0.3">
      <c r="A357" s="7"/>
      <c r="B357" s="7" t="s">
        <v>12</v>
      </c>
      <c r="C357" s="6" t="s">
        <v>11</v>
      </c>
      <c r="D357" s="271">
        <v>40.4</v>
      </c>
      <c r="E357" s="271"/>
      <c r="F357" s="271">
        <v>40.4</v>
      </c>
      <c r="G357" s="271">
        <v>40.4</v>
      </c>
      <c r="H357" s="345"/>
      <c r="I357" s="271">
        <v>40.4</v>
      </c>
      <c r="J357" s="271">
        <v>40.4</v>
      </c>
      <c r="K357" s="271"/>
      <c r="L357" s="271">
        <v>40.4</v>
      </c>
    </row>
    <row r="358" spans="1:12" s="1" customFormat="1" ht="27" x14ac:dyDescent="0.3">
      <c r="A358" s="7" t="s">
        <v>463</v>
      </c>
      <c r="B358" s="7"/>
      <c r="C358" s="103" t="s">
        <v>462</v>
      </c>
      <c r="D358" s="271">
        <f>D359</f>
        <v>40</v>
      </c>
      <c r="E358" s="271"/>
      <c r="F358" s="271">
        <f>F359</f>
        <v>40</v>
      </c>
      <c r="G358" s="271">
        <f>G359</f>
        <v>40</v>
      </c>
      <c r="H358" s="345"/>
      <c r="I358" s="271">
        <f>I359</f>
        <v>40</v>
      </c>
      <c r="J358" s="271">
        <f>J359</f>
        <v>40</v>
      </c>
      <c r="K358" s="271"/>
      <c r="L358" s="271">
        <f>L359</f>
        <v>40</v>
      </c>
    </row>
    <row r="359" spans="1:12" s="1" customFormat="1" ht="27" x14ac:dyDescent="0.3">
      <c r="A359" s="7"/>
      <c r="B359" s="7" t="s">
        <v>12</v>
      </c>
      <c r="C359" s="6" t="s">
        <v>11</v>
      </c>
      <c r="D359" s="271">
        <v>40</v>
      </c>
      <c r="E359" s="271"/>
      <c r="F359" s="271">
        <v>40</v>
      </c>
      <c r="G359" s="271">
        <v>40</v>
      </c>
      <c r="H359" s="345"/>
      <c r="I359" s="271">
        <v>40</v>
      </c>
      <c r="J359" s="271">
        <v>40</v>
      </c>
      <c r="K359" s="271"/>
      <c r="L359" s="271">
        <v>40</v>
      </c>
    </row>
    <row r="360" spans="1:12" s="1" customFormat="1" ht="27" x14ac:dyDescent="0.3">
      <c r="A360" s="7" t="s">
        <v>461</v>
      </c>
      <c r="B360" s="7"/>
      <c r="C360" s="103" t="s">
        <v>460</v>
      </c>
      <c r="D360" s="271">
        <f>D361</f>
        <v>26.6</v>
      </c>
      <c r="E360" s="271"/>
      <c r="F360" s="271">
        <f>F361</f>
        <v>26.6</v>
      </c>
      <c r="G360" s="271">
        <f>G361</f>
        <v>26.6</v>
      </c>
      <c r="H360" s="345"/>
      <c r="I360" s="271">
        <f>I361</f>
        <v>26.6</v>
      </c>
      <c r="J360" s="271">
        <f>J361</f>
        <v>26.6</v>
      </c>
      <c r="K360" s="271"/>
      <c r="L360" s="271">
        <f>L361</f>
        <v>26.6</v>
      </c>
    </row>
    <row r="361" spans="1:12" s="1" customFormat="1" ht="27" x14ac:dyDescent="0.3">
      <c r="A361" s="7"/>
      <c r="B361" s="7" t="s">
        <v>12</v>
      </c>
      <c r="C361" s="6" t="s">
        <v>11</v>
      </c>
      <c r="D361" s="271">
        <v>26.6</v>
      </c>
      <c r="E361" s="271"/>
      <c r="F361" s="271">
        <v>26.6</v>
      </c>
      <c r="G361" s="271">
        <v>26.6</v>
      </c>
      <c r="H361" s="345"/>
      <c r="I361" s="271">
        <v>26.6</v>
      </c>
      <c r="J361" s="271">
        <v>26.6</v>
      </c>
      <c r="K361" s="271"/>
      <c r="L361" s="271">
        <v>26.6</v>
      </c>
    </row>
    <row r="362" spans="1:12" s="1" customFormat="1" ht="14.4" x14ac:dyDescent="0.3">
      <c r="A362" s="7" t="s">
        <v>459</v>
      </c>
      <c r="B362" s="7"/>
      <c r="C362" s="103" t="s">
        <v>458</v>
      </c>
      <c r="D362" s="271">
        <f>D363</f>
        <v>28.8</v>
      </c>
      <c r="E362" s="271"/>
      <c r="F362" s="271">
        <f>F363</f>
        <v>28.8</v>
      </c>
      <c r="G362" s="271">
        <f>G363</f>
        <v>28.8</v>
      </c>
      <c r="H362" s="345"/>
      <c r="I362" s="271">
        <f>I363</f>
        <v>28.8</v>
      </c>
      <c r="J362" s="271">
        <f>J363</f>
        <v>28.8</v>
      </c>
      <c r="K362" s="271"/>
      <c r="L362" s="271">
        <f>L363</f>
        <v>28.8</v>
      </c>
    </row>
    <row r="363" spans="1:12" s="1" customFormat="1" ht="27" x14ac:dyDescent="0.3">
      <c r="A363" s="7"/>
      <c r="B363" s="7" t="s">
        <v>12</v>
      </c>
      <c r="C363" s="6" t="s">
        <v>11</v>
      </c>
      <c r="D363" s="271">
        <v>28.8</v>
      </c>
      <c r="E363" s="271"/>
      <c r="F363" s="271">
        <v>28.8</v>
      </c>
      <c r="G363" s="271">
        <v>28.8</v>
      </c>
      <c r="H363" s="345"/>
      <c r="I363" s="271">
        <v>28.8</v>
      </c>
      <c r="J363" s="271">
        <v>28.8</v>
      </c>
      <c r="K363" s="271"/>
      <c r="L363" s="271">
        <v>28.8</v>
      </c>
    </row>
    <row r="364" spans="1:12" s="1" customFormat="1" ht="40.200000000000003" x14ac:dyDescent="0.3">
      <c r="A364" s="242" t="s">
        <v>313</v>
      </c>
      <c r="B364" s="242"/>
      <c r="C364" s="245" t="s">
        <v>312</v>
      </c>
      <c r="D364" s="268">
        <f t="shared" ref="D364:J364" si="41">D365+D372+D428</f>
        <v>61815.621800000008</v>
      </c>
      <c r="E364" s="268">
        <f t="shared" si="41"/>
        <v>330.89999999999986</v>
      </c>
      <c r="F364" s="268">
        <f t="shared" si="41"/>
        <v>62146.52180000001</v>
      </c>
      <c r="G364" s="268">
        <f t="shared" si="41"/>
        <v>27306.978629999998</v>
      </c>
      <c r="H364" s="268">
        <f t="shared" si="41"/>
        <v>1422.3</v>
      </c>
      <c r="I364" s="268">
        <f t="shared" si="41"/>
        <v>28729.278629999997</v>
      </c>
      <c r="J364" s="268">
        <f t="shared" si="41"/>
        <v>27524.2</v>
      </c>
      <c r="K364" s="268"/>
      <c r="L364" s="268">
        <f>L365+L372+L428</f>
        <v>27524.2</v>
      </c>
    </row>
    <row r="365" spans="1:12" s="1" customFormat="1" ht="27" x14ac:dyDescent="0.3">
      <c r="A365" s="31" t="s">
        <v>349</v>
      </c>
      <c r="B365" s="31"/>
      <c r="C365" s="83" t="s">
        <v>348</v>
      </c>
      <c r="D365" s="269">
        <f>D366</f>
        <v>4009.4000000000005</v>
      </c>
      <c r="E365" s="269"/>
      <c r="F365" s="269">
        <f>F366</f>
        <v>4009.4000000000005</v>
      </c>
      <c r="G365" s="269">
        <f t="shared" ref="G365:L367" si="42">G366</f>
        <v>0</v>
      </c>
      <c r="H365" s="349"/>
      <c r="I365" s="269">
        <f t="shared" si="42"/>
        <v>0</v>
      </c>
      <c r="J365" s="269">
        <f t="shared" si="42"/>
        <v>0</v>
      </c>
      <c r="K365" s="269"/>
      <c r="L365" s="269">
        <f t="shared" si="42"/>
        <v>0</v>
      </c>
    </row>
    <row r="366" spans="1:12" s="1" customFormat="1" ht="66.599999999999994" x14ac:dyDescent="0.3">
      <c r="A366" s="223" t="s">
        <v>651</v>
      </c>
      <c r="B366" s="223"/>
      <c r="C366" s="236" t="s">
        <v>652</v>
      </c>
      <c r="D366" s="270">
        <f>D367</f>
        <v>4009.4000000000005</v>
      </c>
      <c r="E366" s="270"/>
      <c r="F366" s="270">
        <f>F367</f>
        <v>4009.4000000000005</v>
      </c>
      <c r="G366" s="270">
        <f t="shared" si="42"/>
        <v>0</v>
      </c>
      <c r="H366" s="350"/>
      <c r="I366" s="270">
        <f t="shared" si="42"/>
        <v>0</v>
      </c>
      <c r="J366" s="270">
        <f t="shared" si="42"/>
        <v>0</v>
      </c>
      <c r="K366" s="270"/>
      <c r="L366" s="270">
        <f t="shared" si="42"/>
        <v>0</v>
      </c>
    </row>
    <row r="367" spans="1:12" s="1" customFormat="1" ht="40.200000000000003" x14ac:dyDescent="0.3">
      <c r="A367" s="75" t="s">
        <v>347</v>
      </c>
      <c r="B367" s="7"/>
      <c r="C367" s="6" t="s">
        <v>346</v>
      </c>
      <c r="D367" s="271">
        <f>D368</f>
        <v>4009.4000000000005</v>
      </c>
      <c r="E367" s="271"/>
      <c r="F367" s="271">
        <f>F368</f>
        <v>4009.4000000000005</v>
      </c>
      <c r="G367" s="271">
        <f t="shared" si="42"/>
        <v>0</v>
      </c>
      <c r="H367" s="345"/>
      <c r="I367" s="271">
        <f t="shared" si="42"/>
        <v>0</v>
      </c>
      <c r="J367" s="271">
        <f t="shared" si="42"/>
        <v>0</v>
      </c>
      <c r="K367" s="271"/>
      <c r="L367" s="271">
        <f t="shared" si="42"/>
        <v>0</v>
      </c>
    </row>
    <row r="368" spans="1:12" s="1" customFormat="1" ht="27" x14ac:dyDescent="0.3">
      <c r="A368" s="75"/>
      <c r="B368" s="75" t="s">
        <v>12</v>
      </c>
      <c r="C368" s="12" t="s">
        <v>11</v>
      </c>
      <c r="D368" s="271">
        <f>D369+D370+D371</f>
        <v>4009.4000000000005</v>
      </c>
      <c r="E368" s="271"/>
      <c r="F368" s="271">
        <f>F369+F370+F371</f>
        <v>4009.4000000000005</v>
      </c>
      <c r="G368" s="271">
        <f>G369+G370+G371</f>
        <v>0</v>
      </c>
      <c r="H368" s="345"/>
      <c r="I368" s="271">
        <f>I369+I370+I371</f>
        <v>0</v>
      </c>
      <c r="J368" s="271">
        <f>J369+J370+J371</f>
        <v>0</v>
      </c>
      <c r="K368" s="271"/>
      <c r="L368" s="271">
        <f>L369+L370+L371</f>
        <v>0</v>
      </c>
    </row>
    <row r="369" spans="1:12" s="1" customFormat="1" ht="14.4" x14ac:dyDescent="0.3">
      <c r="A369" s="75"/>
      <c r="B369" s="7"/>
      <c r="C369" s="102" t="s">
        <v>345</v>
      </c>
      <c r="D369" s="271">
        <v>2666.3</v>
      </c>
      <c r="E369" s="271"/>
      <c r="F369" s="271">
        <v>2666.3</v>
      </c>
      <c r="G369" s="271">
        <v>0</v>
      </c>
      <c r="H369" s="345"/>
      <c r="I369" s="271">
        <v>0</v>
      </c>
      <c r="J369" s="271">
        <v>0</v>
      </c>
      <c r="K369" s="271"/>
      <c r="L369" s="271">
        <v>0</v>
      </c>
    </row>
    <row r="370" spans="1:12" s="1" customFormat="1" ht="14.4" x14ac:dyDescent="0.3">
      <c r="A370" s="75"/>
      <c r="B370" s="7"/>
      <c r="C370" s="102" t="s">
        <v>339</v>
      </c>
      <c r="D370" s="271">
        <v>140.30000000000001</v>
      </c>
      <c r="E370" s="271"/>
      <c r="F370" s="271">
        <v>140.30000000000001</v>
      </c>
      <c r="G370" s="271">
        <v>0</v>
      </c>
      <c r="H370" s="345"/>
      <c r="I370" s="271">
        <v>0</v>
      </c>
      <c r="J370" s="271">
        <v>0</v>
      </c>
      <c r="K370" s="271"/>
      <c r="L370" s="271">
        <v>0</v>
      </c>
    </row>
    <row r="371" spans="1:12" s="1" customFormat="1" ht="14.4" x14ac:dyDescent="0.3">
      <c r="A371" s="75"/>
      <c r="B371" s="7"/>
      <c r="C371" s="102" t="s">
        <v>332</v>
      </c>
      <c r="D371" s="279">
        <v>1202.8</v>
      </c>
      <c r="E371" s="279"/>
      <c r="F371" s="279">
        <v>1202.8</v>
      </c>
      <c r="G371" s="271">
        <v>0</v>
      </c>
      <c r="H371" s="345"/>
      <c r="I371" s="271">
        <v>0</v>
      </c>
      <c r="J371" s="279">
        <v>0</v>
      </c>
      <c r="K371" s="279"/>
      <c r="L371" s="279">
        <v>0</v>
      </c>
    </row>
    <row r="372" spans="1:12" s="1" customFormat="1" ht="40.200000000000003" x14ac:dyDescent="0.3">
      <c r="A372" s="31" t="s">
        <v>311</v>
      </c>
      <c r="B372" s="31"/>
      <c r="C372" s="83" t="s">
        <v>310</v>
      </c>
      <c r="D372" s="269">
        <f>D373+D393+D414+D417</f>
        <v>33683.492490000004</v>
      </c>
      <c r="E372" s="269">
        <f>E373+E393+E414+E417+E420</f>
        <v>330.89999999999986</v>
      </c>
      <c r="F372" s="269">
        <f>F373+F393+F414+F417+F420</f>
        <v>34014.392490000006</v>
      </c>
      <c r="G372" s="269">
        <f t="shared" ref="G372:L372" si="43">G373+G393+G414+G417+G420</f>
        <v>24983.378629999999</v>
      </c>
      <c r="H372" s="269">
        <f t="shared" si="43"/>
        <v>1422.3</v>
      </c>
      <c r="I372" s="269">
        <f t="shared" si="43"/>
        <v>26405.678629999999</v>
      </c>
      <c r="J372" s="269">
        <f t="shared" si="43"/>
        <v>23531.100000000002</v>
      </c>
      <c r="K372" s="269">
        <f t="shared" si="43"/>
        <v>0</v>
      </c>
      <c r="L372" s="269">
        <f t="shared" si="43"/>
        <v>23531.100000000002</v>
      </c>
    </row>
    <row r="373" spans="1:12" s="1" customFormat="1" ht="40.200000000000003" x14ac:dyDescent="0.3">
      <c r="A373" s="223" t="s">
        <v>344</v>
      </c>
      <c r="B373" s="223"/>
      <c r="C373" s="236" t="s">
        <v>343</v>
      </c>
      <c r="D373" s="270">
        <f>D378+D380+D382+D374+D386+D388</f>
        <v>7640.068040000001</v>
      </c>
      <c r="E373" s="270">
        <f>E378+E380+E382+E374+E386+E388+E391</f>
        <v>-509.86666000000002</v>
      </c>
      <c r="F373" s="270">
        <f>F378+F380+F382+F374+F386+F388+F391</f>
        <v>7130.2013800000004</v>
      </c>
      <c r="G373" s="270">
        <f>G378+G380+G382</f>
        <v>352.5</v>
      </c>
      <c r="H373" s="350"/>
      <c r="I373" s="270">
        <f>I378+I380+I382</f>
        <v>352.5</v>
      </c>
      <c r="J373" s="270">
        <f>J378+J380+J382</f>
        <v>558.4</v>
      </c>
      <c r="K373" s="270"/>
      <c r="L373" s="270">
        <f>L378+L380+L382</f>
        <v>558.4</v>
      </c>
    </row>
    <row r="374" spans="1:12" s="1" customFormat="1" ht="14.4" x14ac:dyDescent="0.3">
      <c r="A374" s="7" t="s">
        <v>342</v>
      </c>
      <c r="B374" s="7"/>
      <c r="C374" s="103" t="s">
        <v>341</v>
      </c>
      <c r="D374" s="271">
        <f>D375</f>
        <v>860.32722000000012</v>
      </c>
      <c r="E374" s="271"/>
      <c r="F374" s="271">
        <f>F375</f>
        <v>860.32722000000012</v>
      </c>
      <c r="G374" s="271">
        <v>0</v>
      </c>
      <c r="H374" s="345"/>
      <c r="I374" s="271">
        <v>0</v>
      </c>
      <c r="J374" s="271">
        <v>0</v>
      </c>
      <c r="K374" s="271"/>
      <c r="L374" s="271">
        <v>0</v>
      </c>
    </row>
    <row r="375" spans="1:12" s="1" customFormat="1" ht="27" x14ac:dyDescent="0.3">
      <c r="A375" s="7"/>
      <c r="B375" s="7" t="s">
        <v>12</v>
      </c>
      <c r="C375" s="6" t="s">
        <v>11</v>
      </c>
      <c r="D375" s="271">
        <f>D376+D377</f>
        <v>860.32722000000012</v>
      </c>
      <c r="E375" s="271"/>
      <c r="F375" s="271">
        <f>F376+F377</f>
        <v>860.32722000000012</v>
      </c>
      <c r="G375" s="271">
        <v>0</v>
      </c>
      <c r="H375" s="345"/>
      <c r="I375" s="271">
        <v>0</v>
      </c>
      <c r="J375" s="271">
        <v>0</v>
      </c>
      <c r="K375" s="271"/>
      <c r="L375" s="271">
        <v>0</v>
      </c>
    </row>
    <row r="376" spans="1:12" s="1" customFormat="1" ht="14.4" x14ac:dyDescent="0.3">
      <c r="A376" s="7"/>
      <c r="B376" s="7"/>
      <c r="C376" s="102" t="s">
        <v>332</v>
      </c>
      <c r="D376" s="271">
        <v>567.31086000000005</v>
      </c>
      <c r="E376" s="271"/>
      <c r="F376" s="271">
        <v>567.31086000000005</v>
      </c>
      <c r="G376" s="271">
        <v>0</v>
      </c>
      <c r="H376" s="345"/>
      <c r="I376" s="271">
        <v>0</v>
      </c>
      <c r="J376" s="271">
        <v>0</v>
      </c>
      <c r="K376" s="271"/>
      <c r="L376" s="271">
        <v>0</v>
      </c>
    </row>
    <row r="377" spans="1:12" s="1" customFormat="1" ht="14.4" x14ac:dyDescent="0.3">
      <c r="A377" s="7"/>
      <c r="B377" s="7"/>
      <c r="C377" s="102" t="s">
        <v>340</v>
      </c>
      <c r="D377" s="271">
        <v>293.01636000000002</v>
      </c>
      <c r="E377" s="271"/>
      <c r="F377" s="271">
        <v>293.01636000000002</v>
      </c>
      <c r="G377" s="271">
        <v>0</v>
      </c>
      <c r="H377" s="345"/>
      <c r="I377" s="271">
        <v>0</v>
      </c>
      <c r="J377" s="271">
        <v>0</v>
      </c>
      <c r="K377" s="271"/>
      <c r="L377" s="271">
        <v>0</v>
      </c>
    </row>
    <row r="378" spans="1:12" s="1" customFormat="1" ht="27" x14ac:dyDescent="0.3">
      <c r="A378" s="55" t="s">
        <v>338</v>
      </c>
      <c r="B378" s="55"/>
      <c r="C378" s="6" t="s">
        <v>337</v>
      </c>
      <c r="D378" s="271">
        <f>D379</f>
        <v>2392.8000000000002</v>
      </c>
      <c r="E378" s="271">
        <f>E379</f>
        <v>-840.76666</v>
      </c>
      <c r="F378" s="271">
        <f>F379</f>
        <v>1552.0333400000002</v>
      </c>
      <c r="G378" s="271">
        <f>G379</f>
        <v>0</v>
      </c>
      <c r="H378" s="345"/>
      <c r="I378" s="271">
        <f>I379</f>
        <v>0</v>
      </c>
      <c r="J378" s="271">
        <f>J379</f>
        <v>0</v>
      </c>
      <c r="K378" s="271"/>
      <c r="L378" s="271">
        <f>L379</f>
        <v>0</v>
      </c>
    </row>
    <row r="379" spans="1:12" s="1" customFormat="1" ht="27" x14ac:dyDescent="0.3">
      <c r="A379" s="55"/>
      <c r="B379" s="7" t="s">
        <v>12</v>
      </c>
      <c r="C379" s="6" t="s">
        <v>11</v>
      </c>
      <c r="D379" s="271">
        <v>2392.8000000000002</v>
      </c>
      <c r="E379" s="271">
        <v>-840.76666</v>
      </c>
      <c r="F379" s="271">
        <f>SUM(D379:E379)</f>
        <v>1552.0333400000002</v>
      </c>
      <c r="G379" s="271">
        <f>714.1-714.1</f>
        <v>0</v>
      </c>
      <c r="H379" s="345"/>
      <c r="I379" s="271">
        <f>714.1-714.1</f>
        <v>0</v>
      </c>
      <c r="J379" s="271">
        <f>734.2-734.2</f>
        <v>0</v>
      </c>
      <c r="K379" s="271"/>
      <c r="L379" s="271">
        <f>734.2-734.2</f>
        <v>0</v>
      </c>
    </row>
    <row r="380" spans="1:12" s="1" customFormat="1" ht="40.200000000000003" x14ac:dyDescent="0.3">
      <c r="A380" s="55" t="s">
        <v>336</v>
      </c>
      <c r="B380" s="55"/>
      <c r="C380" s="6" t="s">
        <v>335</v>
      </c>
      <c r="D380" s="271">
        <f>D381</f>
        <v>2598.9</v>
      </c>
      <c r="E380" s="271"/>
      <c r="F380" s="271">
        <f>F381</f>
        <v>2598.9</v>
      </c>
      <c r="G380" s="271">
        <f>G381</f>
        <v>0</v>
      </c>
      <c r="H380" s="345"/>
      <c r="I380" s="271">
        <f>I381</f>
        <v>0</v>
      </c>
      <c r="J380" s="271">
        <f>J381</f>
        <v>0</v>
      </c>
      <c r="K380" s="271"/>
      <c r="L380" s="271">
        <f>L381</f>
        <v>0</v>
      </c>
    </row>
    <row r="381" spans="1:12" s="1" customFormat="1" ht="27" x14ac:dyDescent="0.3">
      <c r="A381" s="55"/>
      <c r="B381" s="7" t="s">
        <v>12</v>
      </c>
      <c r="C381" s="6" t="s">
        <v>11</v>
      </c>
      <c r="D381" s="271">
        <v>2598.9</v>
      </c>
      <c r="E381" s="271"/>
      <c r="F381" s="271">
        <v>2598.9</v>
      </c>
      <c r="G381" s="271">
        <f>476.5-476.5</f>
        <v>0</v>
      </c>
      <c r="H381" s="345"/>
      <c r="I381" s="271">
        <f>476.5-476.5</f>
        <v>0</v>
      </c>
      <c r="J381" s="271">
        <f>495.4-495.4</f>
        <v>0</v>
      </c>
      <c r="K381" s="271"/>
      <c r="L381" s="271">
        <f>495.4-495.4</f>
        <v>0</v>
      </c>
    </row>
    <row r="382" spans="1:12" s="1" customFormat="1" ht="40.200000000000003" x14ac:dyDescent="0.3">
      <c r="A382" s="55" t="s">
        <v>607</v>
      </c>
      <c r="B382" s="7"/>
      <c r="C382" s="6" t="s">
        <v>608</v>
      </c>
      <c r="D382" s="271">
        <f>D383+D384+D385</f>
        <v>768.9</v>
      </c>
      <c r="E382" s="271"/>
      <c r="F382" s="271">
        <f>F383+F384+F385</f>
        <v>768.9</v>
      </c>
      <c r="G382" s="271">
        <f>G384</f>
        <v>352.5</v>
      </c>
      <c r="H382" s="345"/>
      <c r="I382" s="271">
        <f>I384</f>
        <v>352.5</v>
      </c>
      <c r="J382" s="271">
        <f>J384</f>
        <v>558.4</v>
      </c>
      <c r="K382" s="271"/>
      <c r="L382" s="271">
        <f>L384</f>
        <v>558.4</v>
      </c>
    </row>
    <row r="383" spans="1:12" s="1" customFormat="1" ht="27" x14ac:dyDescent="0.3">
      <c r="A383" s="55"/>
      <c r="B383" s="7" t="s">
        <v>12</v>
      </c>
      <c r="C383" s="6" t="s">
        <v>11</v>
      </c>
      <c r="D383" s="271">
        <v>504.9</v>
      </c>
      <c r="E383" s="271"/>
      <c r="F383" s="271">
        <v>504.9</v>
      </c>
      <c r="G383" s="271">
        <v>0</v>
      </c>
      <c r="H383" s="345"/>
      <c r="I383" s="271">
        <v>0</v>
      </c>
      <c r="J383" s="271">
        <v>0</v>
      </c>
      <c r="K383" s="271"/>
      <c r="L383" s="271">
        <v>0</v>
      </c>
    </row>
    <row r="384" spans="1:12" s="1" customFormat="1" ht="27" x14ac:dyDescent="0.3">
      <c r="A384" s="55"/>
      <c r="B384" s="7" t="s">
        <v>57</v>
      </c>
      <c r="C384" s="6" t="s">
        <v>56</v>
      </c>
      <c r="D384" s="271">
        <v>264</v>
      </c>
      <c r="E384" s="271"/>
      <c r="F384" s="271">
        <v>264</v>
      </c>
      <c r="G384" s="271">
        <v>352.5</v>
      </c>
      <c r="H384" s="345"/>
      <c r="I384" s="271">
        <v>352.5</v>
      </c>
      <c r="J384" s="271">
        <v>558.4</v>
      </c>
      <c r="K384" s="271"/>
      <c r="L384" s="271">
        <v>558.4</v>
      </c>
    </row>
    <row r="385" spans="1:12" s="1" customFormat="1" ht="14.4" x14ac:dyDescent="0.3">
      <c r="A385" s="55"/>
      <c r="B385" s="7" t="s">
        <v>22</v>
      </c>
      <c r="C385" s="6" t="s">
        <v>21</v>
      </c>
      <c r="D385" s="271">
        <v>0</v>
      </c>
      <c r="E385" s="271"/>
      <c r="F385" s="271">
        <f>163.1-163.1</f>
        <v>0</v>
      </c>
      <c r="G385" s="271">
        <v>0</v>
      </c>
      <c r="H385" s="345"/>
      <c r="I385" s="271">
        <v>0</v>
      </c>
      <c r="J385" s="271">
        <v>0</v>
      </c>
      <c r="K385" s="271"/>
      <c r="L385" s="271">
        <v>0</v>
      </c>
    </row>
    <row r="386" spans="1:12" s="1" customFormat="1" ht="53.4" x14ac:dyDescent="0.3">
      <c r="A386" s="55" t="s">
        <v>744</v>
      </c>
      <c r="B386" s="7"/>
      <c r="C386" s="102" t="s">
        <v>606</v>
      </c>
      <c r="D386" s="271">
        <f>D387</f>
        <v>391.8</v>
      </c>
      <c r="E386" s="271"/>
      <c r="F386" s="271">
        <f>F387</f>
        <v>391.8</v>
      </c>
      <c r="G386" s="271">
        <v>0</v>
      </c>
      <c r="H386" s="345"/>
      <c r="I386" s="271">
        <v>0</v>
      </c>
      <c r="J386" s="271">
        <v>0</v>
      </c>
      <c r="K386" s="271"/>
      <c r="L386" s="271">
        <v>0</v>
      </c>
    </row>
    <row r="387" spans="1:12" s="1" customFormat="1" ht="27" x14ac:dyDescent="0.3">
      <c r="A387" s="55"/>
      <c r="B387" s="7" t="s">
        <v>12</v>
      </c>
      <c r="C387" s="6" t="s">
        <v>11</v>
      </c>
      <c r="D387" s="271">
        <v>391.8</v>
      </c>
      <c r="E387" s="271"/>
      <c r="F387" s="271">
        <v>391.8</v>
      </c>
      <c r="G387" s="271">
        <v>0</v>
      </c>
      <c r="H387" s="345"/>
      <c r="I387" s="271">
        <v>0</v>
      </c>
      <c r="J387" s="271">
        <v>0</v>
      </c>
      <c r="K387" s="271"/>
      <c r="L387" s="271">
        <v>0</v>
      </c>
    </row>
    <row r="388" spans="1:12" s="1" customFormat="1" ht="14.4" x14ac:dyDescent="0.3">
      <c r="A388" s="7" t="s">
        <v>334</v>
      </c>
      <c r="B388" s="7"/>
      <c r="C388" s="6" t="s">
        <v>333</v>
      </c>
      <c r="D388" s="271">
        <f>D389</f>
        <v>627.34082000000001</v>
      </c>
      <c r="E388" s="271"/>
      <c r="F388" s="271">
        <f>F389</f>
        <v>627.34082000000001</v>
      </c>
      <c r="G388" s="271">
        <v>0</v>
      </c>
      <c r="H388" s="345"/>
      <c r="I388" s="271">
        <v>0</v>
      </c>
      <c r="J388" s="271">
        <v>0</v>
      </c>
      <c r="K388" s="271"/>
      <c r="L388" s="271">
        <v>0</v>
      </c>
    </row>
    <row r="389" spans="1:12" s="1" customFormat="1" ht="27" x14ac:dyDescent="0.3">
      <c r="A389" s="55"/>
      <c r="B389" s="7" t="s">
        <v>12</v>
      </c>
      <c r="C389" s="6" t="s">
        <v>11</v>
      </c>
      <c r="D389" s="271">
        <f>D390</f>
        <v>627.34082000000001</v>
      </c>
      <c r="E389" s="271"/>
      <c r="F389" s="271">
        <f>F390</f>
        <v>627.34082000000001</v>
      </c>
      <c r="G389" s="271">
        <v>0</v>
      </c>
      <c r="H389" s="345"/>
      <c r="I389" s="271">
        <v>0</v>
      </c>
      <c r="J389" s="271">
        <v>0</v>
      </c>
      <c r="K389" s="271"/>
      <c r="L389" s="271">
        <v>0</v>
      </c>
    </row>
    <row r="390" spans="1:12" s="1" customFormat="1" ht="14.4" x14ac:dyDescent="0.3">
      <c r="A390" s="55"/>
      <c r="B390" s="7"/>
      <c r="C390" s="102" t="s">
        <v>332</v>
      </c>
      <c r="D390" s="271">
        <v>627.34082000000001</v>
      </c>
      <c r="E390" s="271"/>
      <c r="F390" s="271">
        <v>627.34082000000001</v>
      </c>
      <c r="G390" s="271">
        <v>0</v>
      </c>
      <c r="H390" s="345"/>
      <c r="I390" s="271">
        <v>0</v>
      </c>
      <c r="J390" s="271">
        <v>0</v>
      </c>
      <c r="K390" s="271"/>
      <c r="L390" s="271">
        <v>0</v>
      </c>
    </row>
    <row r="391" spans="1:12" s="1" customFormat="1" ht="14.4" x14ac:dyDescent="0.3">
      <c r="A391" s="55" t="s">
        <v>878</v>
      </c>
      <c r="B391" s="362"/>
      <c r="C391" s="367" t="s">
        <v>877</v>
      </c>
      <c r="D391" s="364">
        <f>D392</f>
        <v>0</v>
      </c>
      <c r="E391" s="364">
        <f>E392</f>
        <v>330.9</v>
      </c>
      <c r="F391" s="364">
        <f t="shared" ref="F391:L391" si="44">F392</f>
        <v>330.9</v>
      </c>
      <c r="G391" s="364">
        <f t="shared" si="44"/>
        <v>0</v>
      </c>
      <c r="H391" s="364"/>
      <c r="I391" s="364">
        <f t="shared" si="44"/>
        <v>0</v>
      </c>
      <c r="J391" s="364">
        <f t="shared" si="44"/>
        <v>0</v>
      </c>
      <c r="K391" s="364"/>
      <c r="L391" s="364">
        <f t="shared" si="44"/>
        <v>0</v>
      </c>
    </row>
    <row r="392" spans="1:12" s="1" customFormat="1" ht="27" x14ac:dyDescent="0.3">
      <c r="A392" s="55"/>
      <c r="B392" s="7" t="s">
        <v>57</v>
      </c>
      <c r="C392" s="6" t="s">
        <v>56</v>
      </c>
      <c r="D392" s="364">
        <v>0</v>
      </c>
      <c r="E392" s="364">
        <v>330.9</v>
      </c>
      <c r="F392" s="364">
        <v>330.9</v>
      </c>
      <c r="G392" s="364">
        <v>0</v>
      </c>
      <c r="H392" s="364"/>
      <c r="I392" s="364">
        <v>0</v>
      </c>
      <c r="J392" s="364">
        <v>0</v>
      </c>
      <c r="K392" s="364"/>
      <c r="L392" s="364">
        <v>0</v>
      </c>
    </row>
    <row r="393" spans="1:12" s="1" customFormat="1" ht="27" x14ac:dyDescent="0.3">
      <c r="A393" s="223" t="s">
        <v>309</v>
      </c>
      <c r="B393" s="231"/>
      <c r="C393" s="236" t="s">
        <v>308</v>
      </c>
      <c r="D393" s="270">
        <f>D394+D396+D398+D400+D403+D405+D407+D411</f>
        <v>3661.0244499999999</v>
      </c>
      <c r="E393" s="270">
        <f>E394+E396+E398+E400+E403+E405+E407+E411</f>
        <v>-998.71695</v>
      </c>
      <c r="F393" s="270">
        <f>F394+F396+F398+F400+F403+F405+F407+F411</f>
        <v>2662.3074999999999</v>
      </c>
      <c r="G393" s="270">
        <f>G394+G396+G398+G400+G403+G405+G407</f>
        <v>2248.4786299999996</v>
      </c>
      <c r="H393" s="270">
        <f>H394+H396+H398+H400+H403+H405+H407</f>
        <v>707.12136999999996</v>
      </c>
      <c r="I393" s="270">
        <f>I394+I396+I398+I400+I403+I405+I407</f>
        <v>2955.6</v>
      </c>
      <c r="J393" s="270">
        <f>J394+J396+J398+J400+J403+J405+J407</f>
        <v>590.29999999999995</v>
      </c>
      <c r="K393" s="270"/>
      <c r="L393" s="270">
        <f>L394+L396+L398+L400+L403+L405+L407</f>
        <v>590.29999999999995</v>
      </c>
    </row>
    <row r="394" spans="1:12" s="1" customFormat="1" ht="14.4" x14ac:dyDescent="0.3">
      <c r="A394" s="7" t="s">
        <v>745</v>
      </c>
      <c r="B394" s="7"/>
      <c r="C394" s="6" t="s">
        <v>609</v>
      </c>
      <c r="D394" s="271">
        <f>D395</f>
        <v>394.4</v>
      </c>
      <c r="E394" s="271"/>
      <c r="F394" s="271">
        <f>F395</f>
        <v>394.4</v>
      </c>
      <c r="G394" s="271">
        <f>G395</f>
        <v>394.4</v>
      </c>
      <c r="H394" s="345"/>
      <c r="I394" s="271">
        <f>I395</f>
        <v>394.4</v>
      </c>
      <c r="J394" s="271">
        <f>J395</f>
        <v>394.4</v>
      </c>
      <c r="K394" s="271"/>
      <c r="L394" s="271">
        <f>L395</f>
        <v>394.4</v>
      </c>
    </row>
    <row r="395" spans="1:12" s="1" customFormat="1" ht="27" x14ac:dyDescent="0.3">
      <c r="A395" s="87"/>
      <c r="B395" s="7" t="s">
        <v>57</v>
      </c>
      <c r="C395" s="6" t="s">
        <v>56</v>
      </c>
      <c r="D395" s="271">
        <v>394.4</v>
      </c>
      <c r="E395" s="271"/>
      <c r="F395" s="271">
        <v>394.4</v>
      </c>
      <c r="G395" s="271">
        <v>394.4</v>
      </c>
      <c r="H395" s="345"/>
      <c r="I395" s="271">
        <v>394.4</v>
      </c>
      <c r="J395" s="271">
        <v>394.4</v>
      </c>
      <c r="K395" s="271"/>
      <c r="L395" s="271">
        <v>394.4</v>
      </c>
    </row>
    <row r="396" spans="1:12" s="1" customFormat="1" ht="27" x14ac:dyDescent="0.3">
      <c r="A396" s="7" t="s">
        <v>610</v>
      </c>
      <c r="B396" s="7"/>
      <c r="C396" s="6" t="s">
        <v>611</v>
      </c>
      <c r="D396" s="271">
        <f>D397</f>
        <v>300</v>
      </c>
      <c r="E396" s="271">
        <f>E397</f>
        <v>280</v>
      </c>
      <c r="F396" s="271">
        <f>F397</f>
        <v>580</v>
      </c>
      <c r="G396" s="271">
        <f>G397</f>
        <v>0</v>
      </c>
      <c r="H396" s="345"/>
      <c r="I396" s="271">
        <f>I397</f>
        <v>0</v>
      </c>
      <c r="J396" s="271">
        <f>J397</f>
        <v>0</v>
      </c>
      <c r="K396" s="271"/>
      <c r="L396" s="271">
        <f>L397</f>
        <v>0</v>
      </c>
    </row>
    <row r="397" spans="1:12" s="1" customFormat="1" ht="27" x14ac:dyDescent="0.3">
      <c r="A397" s="87"/>
      <c r="B397" s="7" t="s">
        <v>12</v>
      </c>
      <c r="C397" s="6" t="s">
        <v>11</v>
      </c>
      <c r="D397" s="271">
        <v>300</v>
      </c>
      <c r="E397" s="271">
        <v>280</v>
      </c>
      <c r="F397" s="271">
        <f>SUM(D397:E397)</f>
        <v>580</v>
      </c>
      <c r="G397" s="271"/>
      <c r="H397" s="345"/>
      <c r="I397" s="271"/>
      <c r="J397" s="271"/>
      <c r="K397" s="271"/>
      <c r="L397" s="271"/>
    </row>
    <row r="398" spans="1:12" s="1" customFormat="1" ht="14.4" x14ac:dyDescent="0.3">
      <c r="A398" s="7" t="s">
        <v>331</v>
      </c>
      <c r="B398" s="84"/>
      <c r="C398" s="6" t="s">
        <v>330</v>
      </c>
      <c r="D398" s="271">
        <f>D399</f>
        <v>0</v>
      </c>
      <c r="E398" s="271"/>
      <c r="F398" s="271">
        <f>F399</f>
        <v>0</v>
      </c>
      <c r="G398" s="271">
        <f>G399</f>
        <v>627.29999999999995</v>
      </c>
      <c r="H398" s="345"/>
      <c r="I398" s="271">
        <f>I399</f>
        <v>627.29999999999995</v>
      </c>
      <c r="J398" s="271">
        <f>J399</f>
        <v>195.9</v>
      </c>
      <c r="K398" s="271"/>
      <c r="L398" s="271">
        <f>L399</f>
        <v>195.9</v>
      </c>
    </row>
    <row r="399" spans="1:12" s="1" customFormat="1" ht="27" x14ac:dyDescent="0.3">
      <c r="A399" s="61"/>
      <c r="B399" s="7" t="s">
        <v>12</v>
      </c>
      <c r="C399" s="6" t="s">
        <v>11</v>
      </c>
      <c r="D399" s="271"/>
      <c r="E399" s="271"/>
      <c r="F399" s="271"/>
      <c r="G399" s="271">
        <v>627.29999999999995</v>
      </c>
      <c r="H399" s="345"/>
      <c r="I399" s="271">
        <v>627.29999999999995</v>
      </c>
      <c r="J399" s="271">
        <v>195.9</v>
      </c>
      <c r="K399" s="271"/>
      <c r="L399" s="271">
        <v>195.9</v>
      </c>
    </row>
    <row r="400" spans="1:12" s="1" customFormat="1" ht="27" x14ac:dyDescent="0.3">
      <c r="A400" s="7" t="s">
        <v>368</v>
      </c>
      <c r="B400" s="75"/>
      <c r="C400" s="12" t="s">
        <v>367</v>
      </c>
      <c r="D400" s="271">
        <f>D401</f>
        <v>648.5</v>
      </c>
      <c r="E400" s="271"/>
      <c r="F400" s="271">
        <f>F401</f>
        <v>648.5</v>
      </c>
      <c r="G400" s="271">
        <f>G401+G402</f>
        <v>154</v>
      </c>
      <c r="H400" s="271">
        <f t="shared" ref="H400:I400" si="45">H401+H402</f>
        <v>1422.3</v>
      </c>
      <c r="I400" s="271">
        <f t="shared" si="45"/>
        <v>1576.3</v>
      </c>
      <c r="J400" s="271">
        <f>J401</f>
        <v>0</v>
      </c>
      <c r="K400" s="271"/>
      <c r="L400" s="271">
        <f>L401</f>
        <v>0</v>
      </c>
    </row>
    <row r="401" spans="1:12" s="1" customFormat="1" ht="27" x14ac:dyDescent="0.3">
      <c r="A401" s="7"/>
      <c r="B401" s="7" t="s">
        <v>12</v>
      </c>
      <c r="C401" s="6" t="s">
        <v>11</v>
      </c>
      <c r="D401" s="271">
        <v>648.5</v>
      </c>
      <c r="E401" s="271"/>
      <c r="F401" s="271">
        <v>648.5</v>
      </c>
      <c r="G401" s="271">
        <v>154</v>
      </c>
      <c r="H401" s="345"/>
      <c r="I401" s="271">
        <v>154</v>
      </c>
      <c r="J401" s="271">
        <v>0</v>
      </c>
      <c r="K401" s="271"/>
      <c r="L401" s="271">
        <v>0</v>
      </c>
    </row>
    <row r="402" spans="1:12" s="1" customFormat="1" ht="27" x14ac:dyDescent="0.3">
      <c r="A402" s="445"/>
      <c r="B402" s="7" t="s">
        <v>57</v>
      </c>
      <c r="C402" s="6" t="s">
        <v>56</v>
      </c>
      <c r="D402" s="454">
        <v>0</v>
      </c>
      <c r="E402" s="454"/>
      <c r="F402" s="454">
        <v>0</v>
      </c>
      <c r="G402" s="454">
        <v>0</v>
      </c>
      <c r="H402" s="454">
        <v>1422.3</v>
      </c>
      <c r="I402" s="454">
        <f>0+1422.3</f>
        <v>1422.3</v>
      </c>
      <c r="J402" s="454"/>
      <c r="K402" s="454"/>
      <c r="L402" s="454"/>
    </row>
    <row r="403" spans="1:12" s="1" customFormat="1" ht="27" x14ac:dyDescent="0.3">
      <c r="A403" s="7" t="s">
        <v>307</v>
      </c>
      <c r="B403" s="7"/>
      <c r="C403" s="6" t="s">
        <v>306</v>
      </c>
      <c r="D403" s="271">
        <f>D404</f>
        <v>36.1</v>
      </c>
      <c r="E403" s="271"/>
      <c r="F403" s="271">
        <f>F404</f>
        <v>36.1</v>
      </c>
      <c r="G403" s="271">
        <f>G404</f>
        <v>0</v>
      </c>
      <c r="H403" s="345"/>
      <c r="I403" s="271">
        <f>I404</f>
        <v>0</v>
      </c>
      <c r="J403" s="271">
        <f>J404</f>
        <v>0</v>
      </c>
      <c r="K403" s="271"/>
      <c r="L403" s="271">
        <f>L404</f>
        <v>0</v>
      </c>
    </row>
    <row r="404" spans="1:12" s="1" customFormat="1" ht="27" x14ac:dyDescent="0.3">
      <c r="A404" s="7"/>
      <c r="B404" s="7" t="s">
        <v>12</v>
      </c>
      <c r="C404" s="6" t="s">
        <v>11</v>
      </c>
      <c r="D404" s="271">
        <v>36.1</v>
      </c>
      <c r="E404" s="271"/>
      <c r="F404" s="271">
        <v>36.1</v>
      </c>
      <c r="G404" s="271">
        <v>0</v>
      </c>
      <c r="H404" s="345"/>
      <c r="I404" s="271">
        <v>0</v>
      </c>
      <c r="J404" s="271">
        <v>0</v>
      </c>
      <c r="K404" s="271"/>
      <c r="L404" s="271">
        <v>0</v>
      </c>
    </row>
    <row r="405" spans="1:12" s="1" customFormat="1" ht="27" x14ac:dyDescent="0.3">
      <c r="A405" s="7" t="s">
        <v>329</v>
      </c>
      <c r="B405" s="75"/>
      <c r="C405" s="12" t="s">
        <v>328</v>
      </c>
      <c r="D405" s="271">
        <f>D406</f>
        <v>671.9</v>
      </c>
      <c r="E405" s="271">
        <f>E406</f>
        <v>-80</v>
      </c>
      <c r="F405" s="271">
        <f>F406</f>
        <v>591.9</v>
      </c>
      <c r="G405" s="271">
        <f>G406</f>
        <v>357.6</v>
      </c>
      <c r="H405" s="345"/>
      <c r="I405" s="271">
        <f>I406</f>
        <v>357.6</v>
      </c>
      <c r="J405" s="271">
        <f>J406</f>
        <v>0</v>
      </c>
      <c r="K405" s="271"/>
      <c r="L405" s="271">
        <f>L406</f>
        <v>0</v>
      </c>
    </row>
    <row r="406" spans="1:12" s="1" customFormat="1" ht="27" x14ac:dyDescent="0.3">
      <c r="A406" s="87"/>
      <c r="B406" s="7" t="s">
        <v>12</v>
      </c>
      <c r="C406" s="6" t="s">
        <v>11</v>
      </c>
      <c r="D406" s="271">
        <v>671.9</v>
      </c>
      <c r="E406" s="271">
        <v>-80</v>
      </c>
      <c r="F406" s="271">
        <f>SUM(D406:E406)</f>
        <v>591.9</v>
      </c>
      <c r="G406" s="271">
        <v>357.6</v>
      </c>
      <c r="H406" s="345"/>
      <c r="I406" s="271">
        <v>357.6</v>
      </c>
      <c r="J406" s="271">
        <v>0</v>
      </c>
      <c r="K406" s="271"/>
      <c r="L406" s="271">
        <v>0</v>
      </c>
    </row>
    <row r="407" spans="1:12" s="1" customFormat="1" ht="53.4" x14ac:dyDescent="0.3">
      <c r="A407" s="7" t="s">
        <v>621</v>
      </c>
      <c r="B407" s="7"/>
      <c r="C407" s="435" t="s">
        <v>622</v>
      </c>
      <c r="D407" s="271">
        <f t="shared" ref="D407:J407" si="46">D408</f>
        <v>1198.71695</v>
      </c>
      <c r="E407" s="271">
        <f t="shared" si="46"/>
        <v>-1198.71695</v>
      </c>
      <c r="F407" s="271">
        <f t="shared" si="46"/>
        <v>0</v>
      </c>
      <c r="G407" s="271">
        <f t="shared" si="46"/>
        <v>715.17863</v>
      </c>
      <c r="H407" s="271">
        <f t="shared" si="46"/>
        <v>-715.17863</v>
      </c>
      <c r="I407" s="271">
        <f t="shared" si="46"/>
        <v>0</v>
      </c>
      <c r="J407" s="271">
        <f t="shared" si="46"/>
        <v>0</v>
      </c>
      <c r="K407" s="271"/>
      <c r="L407" s="271">
        <f>L408</f>
        <v>0</v>
      </c>
    </row>
    <row r="408" spans="1:12" s="1" customFormat="1" ht="27" x14ac:dyDescent="0.3">
      <c r="A408" s="7"/>
      <c r="B408" s="7" t="s">
        <v>12</v>
      </c>
      <c r="C408" s="6" t="s">
        <v>11</v>
      </c>
      <c r="D408" s="271">
        <f t="shared" ref="D408:I408" si="47">D410+D409</f>
        <v>1198.71695</v>
      </c>
      <c r="E408" s="271">
        <f t="shared" si="47"/>
        <v>-1198.71695</v>
      </c>
      <c r="F408" s="271">
        <f t="shared" si="47"/>
        <v>0</v>
      </c>
      <c r="G408" s="271">
        <f t="shared" si="47"/>
        <v>715.17863</v>
      </c>
      <c r="H408" s="271">
        <f t="shared" si="47"/>
        <v>-715.17863</v>
      </c>
      <c r="I408" s="271">
        <f t="shared" si="47"/>
        <v>0</v>
      </c>
      <c r="J408" s="271">
        <f>J410</f>
        <v>0</v>
      </c>
      <c r="K408" s="271"/>
      <c r="L408" s="271">
        <f>L410</f>
        <v>0</v>
      </c>
    </row>
    <row r="409" spans="1:12" s="1" customFormat="1" ht="14.4" x14ac:dyDescent="0.3">
      <c r="A409" s="7"/>
      <c r="B409" s="7"/>
      <c r="C409" s="6" t="s">
        <v>733</v>
      </c>
      <c r="D409" s="271">
        <v>840.91519000000005</v>
      </c>
      <c r="E409" s="271">
        <v>-840.91519000000005</v>
      </c>
      <c r="F409" s="271">
        <f>SUM(D409:E409)</f>
        <v>0</v>
      </c>
      <c r="G409" s="271">
        <v>643.66075999999998</v>
      </c>
      <c r="H409" s="271">
        <v>-643.66075999999998</v>
      </c>
      <c r="I409" s="271">
        <v>0</v>
      </c>
      <c r="J409" s="271">
        <v>0</v>
      </c>
      <c r="K409" s="271"/>
      <c r="L409" s="271">
        <v>0</v>
      </c>
    </row>
    <row r="410" spans="1:12" s="1" customFormat="1" ht="14.4" x14ac:dyDescent="0.3">
      <c r="A410" s="87"/>
      <c r="B410" s="7"/>
      <c r="C410" s="6" t="s">
        <v>77</v>
      </c>
      <c r="D410" s="271">
        <v>357.80176</v>
      </c>
      <c r="E410" s="271">
        <v>-357.80176</v>
      </c>
      <c r="F410" s="271">
        <f>SUM(D410:E410)</f>
        <v>0</v>
      </c>
      <c r="G410" s="271">
        <v>71.517870000000002</v>
      </c>
      <c r="H410" s="271">
        <v>-71.517870000000002</v>
      </c>
      <c r="I410" s="271">
        <v>0</v>
      </c>
      <c r="J410" s="271">
        <v>0</v>
      </c>
      <c r="K410" s="271"/>
      <c r="L410" s="271">
        <v>0</v>
      </c>
    </row>
    <row r="411" spans="1:12" s="1" customFormat="1" ht="93" x14ac:dyDescent="0.3">
      <c r="A411" s="7" t="s">
        <v>623</v>
      </c>
      <c r="B411" s="7"/>
      <c r="C411" s="6" t="s">
        <v>746</v>
      </c>
      <c r="D411" s="271">
        <f>D412</f>
        <v>411.40750000000003</v>
      </c>
      <c r="E411" s="271"/>
      <c r="F411" s="271">
        <f>F412</f>
        <v>411.40750000000003</v>
      </c>
      <c r="G411" s="271">
        <v>0</v>
      </c>
      <c r="H411" s="345"/>
      <c r="I411" s="271">
        <v>0</v>
      </c>
      <c r="J411" s="271">
        <v>0</v>
      </c>
      <c r="K411" s="271"/>
      <c r="L411" s="271">
        <v>0</v>
      </c>
    </row>
    <row r="412" spans="1:12" s="1" customFormat="1" ht="27" x14ac:dyDescent="0.3">
      <c r="A412" s="87"/>
      <c r="B412" s="7" t="s">
        <v>12</v>
      </c>
      <c r="C412" s="6" t="s">
        <v>11</v>
      </c>
      <c r="D412" s="271">
        <f>D413</f>
        <v>411.40750000000003</v>
      </c>
      <c r="E412" s="271"/>
      <c r="F412" s="271">
        <f>F413</f>
        <v>411.40750000000003</v>
      </c>
      <c r="G412" s="271">
        <v>0</v>
      </c>
      <c r="H412" s="345"/>
      <c r="I412" s="271">
        <v>0</v>
      </c>
      <c r="J412" s="271">
        <v>0</v>
      </c>
      <c r="K412" s="271"/>
      <c r="L412" s="271">
        <v>0</v>
      </c>
    </row>
    <row r="413" spans="1:12" s="1" customFormat="1" ht="14.4" x14ac:dyDescent="0.3">
      <c r="A413" s="87"/>
      <c r="B413" s="7"/>
      <c r="C413" s="6" t="s">
        <v>77</v>
      </c>
      <c r="D413" s="271">
        <v>411.40750000000003</v>
      </c>
      <c r="E413" s="271"/>
      <c r="F413" s="271">
        <v>411.40750000000003</v>
      </c>
      <c r="G413" s="271">
        <v>0</v>
      </c>
      <c r="H413" s="345"/>
      <c r="I413" s="271">
        <v>0</v>
      </c>
      <c r="J413" s="271">
        <v>0</v>
      </c>
      <c r="K413" s="271"/>
      <c r="L413" s="271">
        <v>0</v>
      </c>
    </row>
    <row r="414" spans="1:12" s="1" customFormat="1" ht="53.4" x14ac:dyDescent="0.3">
      <c r="A414" s="223" t="s">
        <v>457</v>
      </c>
      <c r="B414" s="231"/>
      <c r="C414" s="236" t="s">
        <v>456</v>
      </c>
      <c r="D414" s="270">
        <f t="shared" ref="D414:L415" si="48">D415</f>
        <v>119</v>
      </c>
      <c r="E414" s="270"/>
      <c r="F414" s="270">
        <f t="shared" si="48"/>
        <v>119</v>
      </c>
      <c r="G414" s="270">
        <f t="shared" si="48"/>
        <v>119</v>
      </c>
      <c r="H414" s="350"/>
      <c r="I414" s="270">
        <f t="shared" si="48"/>
        <v>119</v>
      </c>
      <c r="J414" s="270">
        <f t="shared" si="48"/>
        <v>119</v>
      </c>
      <c r="K414" s="270"/>
      <c r="L414" s="270">
        <f t="shared" si="48"/>
        <v>119</v>
      </c>
    </row>
    <row r="415" spans="1:12" s="1" customFormat="1" ht="53.4" x14ac:dyDescent="0.3">
      <c r="A415" s="55" t="s">
        <v>455</v>
      </c>
      <c r="B415" s="55"/>
      <c r="C415" s="6" t="s">
        <v>454</v>
      </c>
      <c r="D415" s="271">
        <f t="shared" si="48"/>
        <v>119</v>
      </c>
      <c r="E415" s="271"/>
      <c r="F415" s="271">
        <f t="shared" si="48"/>
        <v>119</v>
      </c>
      <c r="G415" s="271">
        <f t="shared" si="48"/>
        <v>119</v>
      </c>
      <c r="H415" s="345"/>
      <c r="I415" s="271">
        <f t="shared" si="48"/>
        <v>119</v>
      </c>
      <c r="J415" s="271">
        <f t="shared" si="48"/>
        <v>119</v>
      </c>
      <c r="K415" s="271"/>
      <c r="L415" s="271">
        <f t="shared" si="48"/>
        <v>119</v>
      </c>
    </row>
    <row r="416" spans="1:12" s="1" customFormat="1" ht="27" x14ac:dyDescent="0.3">
      <c r="A416" s="55"/>
      <c r="B416" s="7" t="s">
        <v>12</v>
      </c>
      <c r="C416" s="6" t="s">
        <v>11</v>
      </c>
      <c r="D416" s="271">
        <f>892.1-773.1</f>
        <v>119</v>
      </c>
      <c r="E416" s="271"/>
      <c r="F416" s="271">
        <f>892.1-773.1</f>
        <v>119</v>
      </c>
      <c r="G416" s="271">
        <f>826.8-707.8</f>
        <v>119</v>
      </c>
      <c r="H416" s="345"/>
      <c r="I416" s="271">
        <f>826.8-707.8</f>
        <v>119</v>
      </c>
      <c r="J416" s="271">
        <f>689.7-570.7</f>
        <v>119</v>
      </c>
      <c r="K416" s="271"/>
      <c r="L416" s="271">
        <f>689.7-570.7</f>
        <v>119</v>
      </c>
    </row>
    <row r="417" spans="1:12" s="1" customFormat="1" ht="27" x14ac:dyDescent="0.3">
      <c r="A417" s="223" t="s">
        <v>327</v>
      </c>
      <c r="B417" s="223"/>
      <c r="C417" s="236" t="s">
        <v>326</v>
      </c>
      <c r="D417" s="270">
        <f t="shared" ref="D417:L418" si="49">D418</f>
        <v>22263.4</v>
      </c>
      <c r="E417" s="270"/>
      <c r="F417" s="270">
        <f t="shared" si="49"/>
        <v>22263.4</v>
      </c>
      <c r="G417" s="270">
        <f t="shared" si="49"/>
        <v>22263.4</v>
      </c>
      <c r="H417" s="350"/>
      <c r="I417" s="270">
        <f t="shared" si="49"/>
        <v>22263.4</v>
      </c>
      <c r="J417" s="270">
        <f t="shared" si="49"/>
        <v>22263.4</v>
      </c>
      <c r="K417" s="270"/>
      <c r="L417" s="270">
        <f t="shared" si="49"/>
        <v>22263.4</v>
      </c>
    </row>
    <row r="418" spans="1:12" s="1" customFormat="1" ht="27" x14ac:dyDescent="0.3">
      <c r="A418" s="7" t="s">
        <v>325</v>
      </c>
      <c r="B418" s="7"/>
      <c r="C418" s="117" t="s">
        <v>324</v>
      </c>
      <c r="D418" s="271">
        <f t="shared" si="49"/>
        <v>22263.4</v>
      </c>
      <c r="E418" s="271"/>
      <c r="F418" s="271">
        <f t="shared" si="49"/>
        <v>22263.4</v>
      </c>
      <c r="G418" s="271">
        <f t="shared" si="49"/>
        <v>22263.4</v>
      </c>
      <c r="H418" s="345"/>
      <c r="I418" s="271">
        <f t="shared" si="49"/>
        <v>22263.4</v>
      </c>
      <c r="J418" s="271">
        <f t="shared" si="49"/>
        <v>22263.4</v>
      </c>
      <c r="K418" s="271"/>
      <c r="L418" s="271">
        <f t="shared" si="49"/>
        <v>22263.4</v>
      </c>
    </row>
    <row r="419" spans="1:12" s="1" customFormat="1" ht="27" x14ac:dyDescent="0.3">
      <c r="A419" s="7"/>
      <c r="B419" s="7" t="s">
        <v>57</v>
      </c>
      <c r="C419" s="6" t="s">
        <v>56</v>
      </c>
      <c r="D419" s="271">
        <v>22263.4</v>
      </c>
      <c r="E419" s="271"/>
      <c r="F419" s="271">
        <v>22263.4</v>
      </c>
      <c r="G419" s="271">
        <v>22263.4</v>
      </c>
      <c r="H419" s="345"/>
      <c r="I419" s="271">
        <v>22263.4</v>
      </c>
      <c r="J419" s="271">
        <v>22263.4</v>
      </c>
      <c r="K419" s="271"/>
      <c r="L419" s="271">
        <v>22263.4</v>
      </c>
    </row>
    <row r="420" spans="1:12" s="1" customFormat="1" ht="27" x14ac:dyDescent="0.3">
      <c r="A420" s="223" t="s">
        <v>879</v>
      </c>
      <c r="B420" s="231"/>
      <c r="C420" s="236" t="s">
        <v>874</v>
      </c>
      <c r="D420" s="270">
        <f>D421+D425</f>
        <v>0</v>
      </c>
      <c r="E420" s="270">
        <f>E421+E425</f>
        <v>1839.48361</v>
      </c>
      <c r="F420" s="270">
        <f t="shared" ref="F420:L420" si="50">F421+F425</f>
        <v>1839.48361</v>
      </c>
      <c r="G420" s="270">
        <f t="shared" si="50"/>
        <v>0</v>
      </c>
      <c r="H420" s="270">
        <f t="shared" si="50"/>
        <v>715.17863</v>
      </c>
      <c r="I420" s="270">
        <f t="shared" si="50"/>
        <v>715.17863</v>
      </c>
      <c r="J420" s="270">
        <f t="shared" si="50"/>
        <v>0</v>
      </c>
      <c r="K420" s="270">
        <v>0</v>
      </c>
      <c r="L420" s="270">
        <f t="shared" si="50"/>
        <v>0</v>
      </c>
    </row>
    <row r="421" spans="1:12" s="1" customFormat="1" ht="53.4" x14ac:dyDescent="0.3">
      <c r="A421" s="7" t="s">
        <v>880</v>
      </c>
      <c r="B421" s="7"/>
      <c r="C421" s="435" t="s">
        <v>622</v>
      </c>
      <c r="D421" s="271">
        <f t="shared" ref="D421:J421" si="51">D422</f>
        <v>0</v>
      </c>
      <c r="E421" s="271">
        <f t="shared" si="51"/>
        <v>1198.71695</v>
      </c>
      <c r="F421" s="271">
        <f t="shared" si="51"/>
        <v>1198.71695</v>
      </c>
      <c r="G421" s="271">
        <f t="shared" si="51"/>
        <v>0</v>
      </c>
      <c r="H421" s="271">
        <f t="shared" si="51"/>
        <v>715.17863</v>
      </c>
      <c r="I421" s="271">
        <f t="shared" si="51"/>
        <v>715.17863</v>
      </c>
      <c r="J421" s="271">
        <f t="shared" si="51"/>
        <v>0</v>
      </c>
      <c r="K421" s="271"/>
      <c r="L421" s="271">
        <f>L422</f>
        <v>0</v>
      </c>
    </row>
    <row r="422" spans="1:12" s="1" customFormat="1" ht="27" x14ac:dyDescent="0.3">
      <c r="A422" s="7"/>
      <c r="B422" s="7" t="s">
        <v>12</v>
      </c>
      <c r="C422" s="6" t="s">
        <v>11</v>
      </c>
      <c r="D422" s="271">
        <f>D424+D423</f>
        <v>0</v>
      </c>
      <c r="E422" s="271">
        <f>E424+E423</f>
        <v>1198.71695</v>
      </c>
      <c r="F422" s="271">
        <f>F424+F423</f>
        <v>1198.71695</v>
      </c>
      <c r="G422" s="271">
        <v>0</v>
      </c>
      <c r="H422" s="271">
        <f>H424+H423</f>
        <v>715.17863</v>
      </c>
      <c r="I422" s="271">
        <f>I424+I423</f>
        <v>715.17863</v>
      </c>
      <c r="J422" s="271">
        <f>J424</f>
        <v>0</v>
      </c>
      <c r="K422" s="271"/>
      <c r="L422" s="271">
        <f>L424</f>
        <v>0</v>
      </c>
    </row>
    <row r="423" spans="1:12" s="1" customFormat="1" ht="14.4" x14ac:dyDescent="0.3">
      <c r="A423" s="7"/>
      <c r="B423" s="7"/>
      <c r="C423" s="6" t="s">
        <v>733</v>
      </c>
      <c r="D423" s="271">
        <v>0</v>
      </c>
      <c r="E423" s="271">
        <v>840.91519000000005</v>
      </c>
      <c r="F423" s="271">
        <v>840.91519000000005</v>
      </c>
      <c r="G423" s="271">
        <v>0</v>
      </c>
      <c r="H423" s="271">
        <v>643.66075999999998</v>
      </c>
      <c r="I423" s="271">
        <v>643.66075999999998</v>
      </c>
      <c r="J423" s="271">
        <v>0</v>
      </c>
      <c r="K423" s="271"/>
      <c r="L423" s="271">
        <v>0</v>
      </c>
    </row>
    <row r="424" spans="1:12" s="1" customFormat="1" ht="14.4" x14ac:dyDescent="0.3">
      <c r="A424" s="87"/>
      <c r="B424" s="7"/>
      <c r="C424" s="6" t="s">
        <v>77</v>
      </c>
      <c r="D424" s="271">
        <v>0</v>
      </c>
      <c r="E424" s="271">
        <v>357.80176</v>
      </c>
      <c r="F424" s="271">
        <v>357.80176</v>
      </c>
      <c r="G424" s="271">
        <v>0</v>
      </c>
      <c r="H424" s="271">
        <v>71.517870000000002</v>
      </c>
      <c r="I424" s="271">
        <v>71.517870000000002</v>
      </c>
      <c r="J424" s="271">
        <v>0</v>
      </c>
      <c r="K424" s="271"/>
      <c r="L424" s="271">
        <v>0</v>
      </c>
    </row>
    <row r="425" spans="1:12" s="1" customFormat="1" ht="27" x14ac:dyDescent="0.3">
      <c r="A425" s="7" t="s">
        <v>881</v>
      </c>
      <c r="B425" s="362"/>
      <c r="C425" s="365" t="s">
        <v>882</v>
      </c>
      <c r="D425" s="364">
        <f>D426</f>
        <v>0</v>
      </c>
      <c r="E425" s="364">
        <f>E426</f>
        <v>640.76666</v>
      </c>
      <c r="F425" s="364">
        <f t="shared" ref="F425:L425" si="52">F426</f>
        <v>640.76666</v>
      </c>
      <c r="G425" s="364">
        <f t="shared" si="52"/>
        <v>0</v>
      </c>
      <c r="H425" s="364"/>
      <c r="I425" s="364">
        <f t="shared" si="52"/>
        <v>0</v>
      </c>
      <c r="J425" s="364">
        <f t="shared" si="52"/>
        <v>0</v>
      </c>
      <c r="K425" s="364"/>
      <c r="L425" s="364">
        <f t="shared" si="52"/>
        <v>0</v>
      </c>
    </row>
    <row r="426" spans="1:12" s="1" customFormat="1" ht="27" x14ac:dyDescent="0.3">
      <c r="A426" s="368"/>
      <c r="B426" s="7" t="s">
        <v>12</v>
      </c>
      <c r="C426" s="6" t="s">
        <v>11</v>
      </c>
      <c r="D426" s="364">
        <v>0</v>
      </c>
      <c r="E426" s="364">
        <f>E427</f>
        <v>640.76666</v>
      </c>
      <c r="F426" s="364">
        <f>F427</f>
        <v>640.76666</v>
      </c>
      <c r="G426" s="364">
        <v>0</v>
      </c>
      <c r="H426" s="364"/>
      <c r="I426" s="364">
        <v>0</v>
      </c>
      <c r="J426" s="364">
        <v>0</v>
      </c>
      <c r="K426" s="364"/>
      <c r="L426" s="364">
        <v>0</v>
      </c>
    </row>
    <row r="427" spans="1:12" s="1" customFormat="1" ht="14.4" x14ac:dyDescent="0.3">
      <c r="A427" s="368"/>
      <c r="B427" s="362"/>
      <c r="C427" s="6" t="s">
        <v>77</v>
      </c>
      <c r="D427" s="364">
        <v>0</v>
      </c>
      <c r="E427" s="364">
        <v>640.76666</v>
      </c>
      <c r="F427" s="364">
        <v>640.76666</v>
      </c>
      <c r="G427" s="364">
        <v>0</v>
      </c>
      <c r="H427" s="364"/>
      <c r="I427" s="364">
        <v>0</v>
      </c>
      <c r="J427" s="364">
        <v>0</v>
      </c>
      <c r="K427" s="364"/>
      <c r="L427" s="364">
        <v>0</v>
      </c>
    </row>
    <row r="428" spans="1:12" s="1" customFormat="1" ht="40.200000000000003" x14ac:dyDescent="0.3">
      <c r="A428" s="31" t="s">
        <v>366</v>
      </c>
      <c r="B428" s="31"/>
      <c r="C428" s="83" t="s">
        <v>365</v>
      </c>
      <c r="D428" s="269">
        <f>D429</f>
        <v>24122.729310000002</v>
      </c>
      <c r="E428" s="269">
        <f>E429+E449</f>
        <v>0</v>
      </c>
      <c r="F428" s="269">
        <f>F429+F449</f>
        <v>24122.729310000002</v>
      </c>
      <c r="G428" s="269">
        <f>G429</f>
        <v>2323.6</v>
      </c>
      <c r="H428" s="349"/>
      <c r="I428" s="269">
        <f>I429</f>
        <v>2323.6</v>
      </c>
      <c r="J428" s="269">
        <f>J429</f>
        <v>3993.1</v>
      </c>
      <c r="K428" s="269"/>
      <c r="L428" s="269">
        <f>L429</f>
        <v>3993.1</v>
      </c>
    </row>
    <row r="429" spans="1:12" s="1" customFormat="1" ht="53.4" x14ac:dyDescent="0.3">
      <c r="A429" s="223" t="s">
        <v>364</v>
      </c>
      <c r="B429" s="223"/>
      <c r="C429" s="236" t="s">
        <v>363</v>
      </c>
      <c r="D429" s="270">
        <f>D430++D433++D435+D437+D441+D443+D445+D447</f>
        <v>24122.729310000002</v>
      </c>
      <c r="E429" s="270">
        <f>E430++E433++E435+E437+E441+E443+E445+E447</f>
        <v>-8521.7293100000006</v>
      </c>
      <c r="F429" s="270">
        <f>F430++F433++F435+F437+F441+F443+F445+F447</f>
        <v>15601</v>
      </c>
      <c r="G429" s="270">
        <f>G430++G433++G435+G437</f>
        <v>2323.6</v>
      </c>
      <c r="H429" s="350"/>
      <c r="I429" s="270">
        <f>I430++I433++I435+I437</f>
        <v>2323.6</v>
      </c>
      <c r="J429" s="270">
        <f>J430++J433++J435+J437</f>
        <v>3993.1</v>
      </c>
      <c r="K429" s="270"/>
      <c r="L429" s="270">
        <f>L430++L433++L435+L437</f>
        <v>3993.1</v>
      </c>
    </row>
    <row r="430" spans="1:12" s="1" customFormat="1" ht="27" x14ac:dyDescent="0.3">
      <c r="A430" s="7" t="s">
        <v>360</v>
      </c>
      <c r="B430" s="7"/>
      <c r="C430" s="12" t="s">
        <v>359</v>
      </c>
      <c r="D430" s="271">
        <f>D431</f>
        <v>2304.9</v>
      </c>
      <c r="E430" s="271"/>
      <c r="F430" s="271">
        <f>F431</f>
        <v>2304.9</v>
      </c>
      <c r="G430" s="271">
        <f>G431</f>
        <v>2323.6</v>
      </c>
      <c r="H430" s="345"/>
      <c r="I430" s="271">
        <f>I431</f>
        <v>2323.6</v>
      </c>
      <c r="J430" s="271">
        <f>J431</f>
        <v>3993.1</v>
      </c>
      <c r="K430" s="271"/>
      <c r="L430" s="271">
        <f>L431</f>
        <v>3993.1</v>
      </c>
    </row>
    <row r="431" spans="1:12" s="1" customFormat="1" ht="27" x14ac:dyDescent="0.3">
      <c r="A431" s="61"/>
      <c r="B431" s="7" t="s">
        <v>12</v>
      </c>
      <c r="C431" s="6" t="s">
        <v>11</v>
      </c>
      <c r="D431" s="271">
        <v>2304.9</v>
      </c>
      <c r="E431" s="271"/>
      <c r="F431" s="271">
        <v>2304.9</v>
      </c>
      <c r="G431" s="271">
        <v>2323.6</v>
      </c>
      <c r="H431" s="345"/>
      <c r="I431" s="271">
        <v>2323.6</v>
      </c>
      <c r="J431" s="271">
        <v>3993.1</v>
      </c>
      <c r="K431" s="271"/>
      <c r="L431" s="271">
        <v>3993.1</v>
      </c>
    </row>
    <row r="432" spans="1:12" s="1" customFormat="1" ht="27" x14ac:dyDescent="0.3">
      <c r="A432" s="61"/>
      <c r="B432" s="7" t="s">
        <v>57</v>
      </c>
      <c r="C432" s="6" t="s">
        <v>56</v>
      </c>
      <c r="D432" s="271">
        <v>0</v>
      </c>
      <c r="E432" s="271"/>
      <c r="F432" s="271">
        <v>0</v>
      </c>
      <c r="G432" s="271">
        <v>0</v>
      </c>
      <c r="H432" s="345"/>
      <c r="I432" s="271">
        <v>0</v>
      </c>
      <c r="J432" s="271">
        <v>0</v>
      </c>
      <c r="K432" s="271"/>
      <c r="L432" s="271">
        <v>0</v>
      </c>
    </row>
    <row r="433" spans="1:12" s="1" customFormat="1" ht="66.599999999999994" x14ac:dyDescent="0.3">
      <c r="A433" s="7" t="s">
        <v>358</v>
      </c>
      <c r="B433" s="7"/>
      <c r="C433" s="6" t="s">
        <v>653</v>
      </c>
      <c r="D433" s="271">
        <f>D434</f>
        <v>507.3</v>
      </c>
      <c r="E433" s="271"/>
      <c r="F433" s="271">
        <f>F434</f>
        <v>507.3</v>
      </c>
      <c r="G433" s="271">
        <f>G434</f>
        <v>0</v>
      </c>
      <c r="H433" s="345"/>
      <c r="I433" s="271">
        <f>I434</f>
        <v>0</v>
      </c>
      <c r="J433" s="271">
        <f>J434</f>
        <v>0</v>
      </c>
      <c r="K433" s="271"/>
      <c r="L433" s="271">
        <f>L434</f>
        <v>0</v>
      </c>
    </row>
    <row r="434" spans="1:12" s="1" customFormat="1" ht="27" x14ac:dyDescent="0.3">
      <c r="A434" s="7"/>
      <c r="B434" s="7" t="s">
        <v>12</v>
      </c>
      <c r="C434" s="6" t="s">
        <v>11</v>
      </c>
      <c r="D434" s="271">
        <v>507.3</v>
      </c>
      <c r="E434" s="271"/>
      <c r="F434" s="271">
        <v>507.3</v>
      </c>
      <c r="G434" s="271">
        <v>0</v>
      </c>
      <c r="H434" s="345"/>
      <c r="I434" s="271">
        <v>0</v>
      </c>
      <c r="J434" s="271">
        <v>0</v>
      </c>
      <c r="K434" s="271"/>
      <c r="L434" s="271">
        <v>0</v>
      </c>
    </row>
    <row r="435" spans="1:12" s="1" customFormat="1" ht="27" x14ac:dyDescent="0.3">
      <c r="A435" s="55" t="s">
        <v>362</v>
      </c>
      <c r="B435" s="87"/>
      <c r="C435" s="6" t="s">
        <v>361</v>
      </c>
      <c r="D435" s="271">
        <f>D436</f>
        <v>120</v>
      </c>
      <c r="E435" s="271"/>
      <c r="F435" s="271">
        <f>F436</f>
        <v>120</v>
      </c>
      <c r="G435" s="271">
        <f>G436</f>
        <v>0</v>
      </c>
      <c r="H435" s="345"/>
      <c r="I435" s="271">
        <f>I436</f>
        <v>0</v>
      </c>
      <c r="J435" s="271">
        <f>J436</f>
        <v>0</v>
      </c>
      <c r="K435" s="271"/>
      <c r="L435" s="271">
        <f>L436</f>
        <v>0</v>
      </c>
    </row>
    <row r="436" spans="1:12" s="1" customFormat="1" ht="27" x14ac:dyDescent="0.3">
      <c r="A436" s="55"/>
      <c r="B436" s="7" t="s">
        <v>12</v>
      </c>
      <c r="C436" s="6" t="s">
        <v>11</v>
      </c>
      <c r="D436" s="271">
        <v>120</v>
      </c>
      <c r="E436" s="271"/>
      <c r="F436" s="271">
        <v>120</v>
      </c>
      <c r="G436" s="271">
        <v>0</v>
      </c>
      <c r="H436" s="345"/>
      <c r="I436" s="271">
        <v>0</v>
      </c>
      <c r="J436" s="271">
        <v>0</v>
      </c>
      <c r="K436" s="271"/>
      <c r="L436" s="271">
        <v>0</v>
      </c>
    </row>
    <row r="437" spans="1:12" s="1" customFormat="1" ht="79.8" x14ac:dyDescent="0.3">
      <c r="A437" s="7" t="s">
        <v>356</v>
      </c>
      <c r="B437" s="7"/>
      <c r="C437" s="435" t="s">
        <v>355</v>
      </c>
      <c r="D437" s="271">
        <f>D438</f>
        <v>8521.7293100000006</v>
      </c>
      <c r="E437" s="271">
        <f>E438</f>
        <v>-8521.7293100000006</v>
      </c>
      <c r="F437" s="271">
        <f>F438</f>
        <v>0</v>
      </c>
      <c r="G437" s="271">
        <f>G438</f>
        <v>0</v>
      </c>
      <c r="H437" s="345"/>
      <c r="I437" s="271">
        <f>I438</f>
        <v>0</v>
      </c>
      <c r="J437" s="271">
        <f>J438</f>
        <v>0</v>
      </c>
      <c r="K437" s="271"/>
      <c r="L437" s="271">
        <f>L438</f>
        <v>0</v>
      </c>
    </row>
    <row r="438" spans="1:12" s="1" customFormat="1" ht="27" x14ac:dyDescent="0.3">
      <c r="A438" s="55"/>
      <c r="B438" s="7" t="s">
        <v>12</v>
      </c>
      <c r="C438" s="6" t="s">
        <v>11</v>
      </c>
      <c r="D438" s="271">
        <f>D439+D440</f>
        <v>8521.7293100000006</v>
      </c>
      <c r="E438" s="271">
        <f>E439+E440</f>
        <v>-8521.7293100000006</v>
      </c>
      <c r="F438" s="271">
        <f>F439+F440</f>
        <v>0</v>
      </c>
      <c r="G438" s="271">
        <f>G439+G440</f>
        <v>0</v>
      </c>
      <c r="H438" s="345"/>
      <c r="I438" s="271">
        <f>I439+I440</f>
        <v>0</v>
      </c>
      <c r="J438" s="271">
        <f>J439+J440</f>
        <v>0</v>
      </c>
      <c r="K438" s="271"/>
      <c r="L438" s="271">
        <f>L439+L440</f>
        <v>0</v>
      </c>
    </row>
    <row r="439" spans="1:12" s="1" customFormat="1" ht="14.4" x14ac:dyDescent="0.3">
      <c r="A439" s="55"/>
      <c r="B439" s="7"/>
      <c r="C439" s="6" t="s">
        <v>165</v>
      </c>
      <c r="D439" s="271">
        <v>6391.2969800000001</v>
      </c>
      <c r="E439" s="271">
        <v>-6391.2969800000001</v>
      </c>
      <c r="F439" s="271">
        <v>0</v>
      </c>
      <c r="G439" s="271">
        <v>0</v>
      </c>
      <c r="H439" s="345"/>
      <c r="I439" s="271">
        <v>0</v>
      </c>
      <c r="J439" s="271">
        <v>0</v>
      </c>
      <c r="K439" s="271"/>
      <c r="L439" s="271">
        <v>0</v>
      </c>
    </row>
    <row r="440" spans="1:12" s="1" customFormat="1" ht="14.4" x14ac:dyDescent="0.3">
      <c r="A440" s="55"/>
      <c r="B440" s="7"/>
      <c r="C440" s="103" t="s">
        <v>164</v>
      </c>
      <c r="D440" s="271">
        <v>2130.4323300000001</v>
      </c>
      <c r="E440" s="271">
        <v>-2130.4323300000001</v>
      </c>
      <c r="F440" s="271">
        <v>0</v>
      </c>
      <c r="G440" s="271">
        <v>0</v>
      </c>
      <c r="H440" s="345"/>
      <c r="I440" s="271">
        <v>0</v>
      </c>
      <c r="J440" s="271">
        <v>0</v>
      </c>
      <c r="K440" s="271"/>
      <c r="L440" s="271">
        <v>0</v>
      </c>
    </row>
    <row r="441" spans="1:12" s="1" customFormat="1" ht="66.599999999999994" x14ac:dyDescent="0.3">
      <c r="A441" s="75" t="s">
        <v>354</v>
      </c>
      <c r="B441" s="75"/>
      <c r="C441" s="6" t="s">
        <v>856</v>
      </c>
      <c r="D441" s="271">
        <f>D442</f>
        <v>160.5</v>
      </c>
      <c r="E441" s="271"/>
      <c r="F441" s="271">
        <f>F442</f>
        <v>160.5</v>
      </c>
      <c r="G441" s="271">
        <v>0</v>
      </c>
      <c r="H441" s="345"/>
      <c r="I441" s="271">
        <v>0</v>
      </c>
      <c r="J441" s="271">
        <v>0</v>
      </c>
      <c r="K441" s="271"/>
      <c r="L441" s="271">
        <v>0</v>
      </c>
    </row>
    <row r="442" spans="1:12" s="1" customFormat="1" ht="27" x14ac:dyDescent="0.3">
      <c r="A442" s="75"/>
      <c r="B442" s="75" t="s">
        <v>12</v>
      </c>
      <c r="C442" s="12" t="s">
        <v>11</v>
      </c>
      <c r="D442" s="271">
        <v>160.5</v>
      </c>
      <c r="E442" s="271"/>
      <c r="F442" s="271">
        <v>160.5</v>
      </c>
      <c r="G442" s="271">
        <v>0</v>
      </c>
      <c r="H442" s="345"/>
      <c r="I442" s="271">
        <v>0</v>
      </c>
      <c r="J442" s="271">
        <v>0</v>
      </c>
      <c r="K442" s="271"/>
      <c r="L442" s="271">
        <v>0</v>
      </c>
    </row>
    <row r="443" spans="1:12" s="1" customFormat="1" ht="27" x14ac:dyDescent="0.3">
      <c r="A443" s="7" t="s">
        <v>747</v>
      </c>
      <c r="B443" s="55"/>
      <c r="C443" s="6" t="s">
        <v>353</v>
      </c>
      <c r="D443" s="271">
        <f>D444</f>
        <v>685.6</v>
      </c>
      <c r="E443" s="271"/>
      <c r="F443" s="271">
        <f>F444</f>
        <v>685.6</v>
      </c>
      <c r="G443" s="271">
        <f>G444</f>
        <v>0</v>
      </c>
      <c r="H443" s="345"/>
      <c r="I443" s="271">
        <f>I444</f>
        <v>0</v>
      </c>
      <c r="J443" s="271">
        <f>J444</f>
        <v>0</v>
      </c>
      <c r="K443" s="271"/>
      <c r="L443" s="271">
        <f>L444</f>
        <v>0</v>
      </c>
    </row>
    <row r="444" spans="1:12" s="1" customFormat="1" ht="27" x14ac:dyDescent="0.3">
      <c r="A444" s="7"/>
      <c r="B444" s="7" t="s">
        <v>12</v>
      </c>
      <c r="C444" s="6" t="s">
        <v>11</v>
      </c>
      <c r="D444" s="271">
        <v>685.6</v>
      </c>
      <c r="E444" s="271"/>
      <c r="F444" s="271">
        <v>685.6</v>
      </c>
      <c r="G444" s="271">
        <v>0</v>
      </c>
      <c r="H444" s="345"/>
      <c r="I444" s="271">
        <v>0</v>
      </c>
      <c r="J444" s="271">
        <v>0</v>
      </c>
      <c r="K444" s="271"/>
      <c r="L444" s="271">
        <v>0</v>
      </c>
    </row>
    <row r="445" spans="1:12" s="1" customFormat="1" ht="27" x14ac:dyDescent="0.3">
      <c r="A445" s="7" t="s">
        <v>748</v>
      </c>
      <c r="B445" s="99"/>
      <c r="C445" s="103" t="s">
        <v>352</v>
      </c>
      <c r="D445" s="271">
        <f>D446</f>
        <v>9723.5</v>
      </c>
      <c r="E445" s="271"/>
      <c r="F445" s="271">
        <f>F446</f>
        <v>9723.5</v>
      </c>
      <c r="G445" s="271">
        <f>G446</f>
        <v>0</v>
      </c>
      <c r="H445" s="345"/>
      <c r="I445" s="271">
        <f>I446</f>
        <v>0</v>
      </c>
      <c r="J445" s="271">
        <f>J446</f>
        <v>0</v>
      </c>
      <c r="K445" s="271"/>
      <c r="L445" s="271">
        <f>L446</f>
        <v>0</v>
      </c>
    </row>
    <row r="446" spans="1:12" s="1" customFormat="1" ht="27" x14ac:dyDescent="0.3">
      <c r="A446" s="7"/>
      <c r="B446" s="7" t="s">
        <v>12</v>
      </c>
      <c r="C446" s="6" t="s">
        <v>11</v>
      </c>
      <c r="D446" s="271">
        <f>8219+1504.5</f>
        <v>9723.5</v>
      </c>
      <c r="E446" s="271"/>
      <c r="F446" s="271">
        <f>8219+1504.5</f>
        <v>9723.5</v>
      </c>
      <c r="G446" s="271">
        <v>0</v>
      </c>
      <c r="H446" s="345"/>
      <c r="I446" s="271">
        <v>0</v>
      </c>
      <c r="J446" s="271">
        <v>0</v>
      </c>
      <c r="K446" s="271"/>
      <c r="L446" s="271">
        <v>0</v>
      </c>
    </row>
    <row r="447" spans="1:12" s="1" customFormat="1" ht="27" x14ac:dyDescent="0.3">
      <c r="A447" s="7" t="s">
        <v>749</v>
      </c>
      <c r="B447" s="7"/>
      <c r="C447" s="6" t="s">
        <v>753</v>
      </c>
      <c r="D447" s="271">
        <f>D448</f>
        <v>2099.1999999999998</v>
      </c>
      <c r="E447" s="271"/>
      <c r="F447" s="271">
        <f>F448</f>
        <v>2099.1999999999998</v>
      </c>
      <c r="G447" s="271">
        <v>0</v>
      </c>
      <c r="H447" s="345"/>
      <c r="I447" s="271">
        <v>0</v>
      </c>
      <c r="J447" s="271">
        <v>0</v>
      </c>
      <c r="K447" s="271"/>
      <c r="L447" s="271">
        <v>0</v>
      </c>
    </row>
    <row r="448" spans="1:12" s="1" customFormat="1" ht="27" x14ac:dyDescent="0.3">
      <c r="A448" s="7"/>
      <c r="B448" s="7" t="s">
        <v>12</v>
      </c>
      <c r="C448" s="6" t="s">
        <v>11</v>
      </c>
      <c r="D448" s="271">
        <v>2099.1999999999998</v>
      </c>
      <c r="E448" s="271"/>
      <c r="F448" s="271">
        <v>2099.1999999999998</v>
      </c>
      <c r="G448" s="271">
        <v>0</v>
      </c>
      <c r="H448" s="345"/>
      <c r="I448" s="271">
        <v>0</v>
      </c>
      <c r="J448" s="271">
        <v>0</v>
      </c>
      <c r="K448" s="271"/>
      <c r="L448" s="271">
        <v>0</v>
      </c>
    </row>
    <row r="449" spans="1:12" s="1" customFormat="1" ht="27" x14ac:dyDescent="0.3">
      <c r="A449" s="369" t="s">
        <v>905</v>
      </c>
      <c r="B449" s="369"/>
      <c r="C449" s="409" t="s">
        <v>874</v>
      </c>
      <c r="D449" s="270">
        <f>D450</f>
        <v>0</v>
      </c>
      <c r="E449" s="270">
        <f>E450</f>
        <v>8521.7293100000006</v>
      </c>
      <c r="F449" s="270">
        <f t="shared" ref="F449:L449" si="53">F450</f>
        <v>8521.7293100000006</v>
      </c>
      <c r="G449" s="270">
        <f t="shared" si="53"/>
        <v>0</v>
      </c>
      <c r="H449" s="270">
        <f t="shared" si="53"/>
        <v>0</v>
      </c>
      <c r="I449" s="270">
        <f t="shared" si="53"/>
        <v>0</v>
      </c>
      <c r="J449" s="270">
        <f t="shared" si="53"/>
        <v>0</v>
      </c>
      <c r="K449" s="270">
        <f t="shared" si="53"/>
        <v>0</v>
      </c>
      <c r="L449" s="270">
        <f t="shared" si="53"/>
        <v>0</v>
      </c>
    </row>
    <row r="450" spans="1:12" s="1" customFormat="1" ht="79.2" x14ac:dyDescent="0.3">
      <c r="A450" s="362" t="s">
        <v>906</v>
      </c>
      <c r="B450" s="362"/>
      <c r="C450" s="433" t="s">
        <v>355</v>
      </c>
      <c r="D450" s="271">
        <f>D451</f>
        <v>0</v>
      </c>
      <c r="E450" s="271">
        <f>E451</f>
        <v>8521.7293100000006</v>
      </c>
      <c r="F450" s="271">
        <f t="shared" ref="F450:L450" si="54">F451</f>
        <v>8521.7293100000006</v>
      </c>
      <c r="G450" s="271">
        <f t="shared" si="54"/>
        <v>0</v>
      </c>
      <c r="H450" s="271"/>
      <c r="I450" s="271">
        <f t="shared" si="54"/>
        <v>0</v>
      </c>
      <c r="J450" s="271">
        <f t="shared" si="54"/>
        <v>0</v>
      </c>
      <c r="K450" s="271"/>
      <c r="L450" s="271">
        <f t="shared" si="54"/>
        <v>0</v>
      </c>
    </row>
    <row r="451" spans="1:12" s="1" customFormat="1" ht="27" x14ac:dyDescent="0.3">
      <c r="A451" s="366"/>
      <c r="B451" s="362" t="s">
        <v>12</v>
      </c>
      <c r="C451" s="365" t="s">
        <v>11</v>
      </c>
      <c r="D451" s="364">
        <v>0</v>
      </c>
      <c r="E451" s="271">
        <f>E452+E453</f>
        <v>8521.7293100000006</v>
      </c>
      <c r="F451" s="271">
        <f>F452+F453</f>
        <v>8521.7293100000006</v>
      </c>
      <c r="G451" s="364">
        <v>0</v>
      </c>
      <c r="H451" s="364"/>
      <c r="I451" s="364">
        <v>0</v>
      </c>
      <c r="J451" s="364">
        <v>0</v>
      </c>
      <c r="K451" s="364"/>
      <c r="L451" s="364">
        <v>0</v>
      </c>
    </row>
    <row r="452" spans="1:12" s="1" customFormat="1" ht="14.4" x14ac:dyDescent="0.3">
      <c r="A452" s="366"/>
      <c r="B452" s="362"/>
      <c r="C452" s="365" t="s">
        <v>165</v>
      </c>
      <c r="D452" s="364">
        <v>0</v>
      </c>
      <c r="E452" s="271">
        <v>6391.2969800000001</v>
      </c>
      <c r="F452" s="271">
        <v>6391.2969800000001</v>
      </c>
      <c r="G452" s="364">
        <v>0</v>
      </c>
      <c r="H452" s="364"/>
      <c r="I452" s="364">
        <v>0</v>
      </c>
      <c r="J452" s="364">
        <v>0</v>
      </c>
      <c r="K452" s="364"/>
      <c r="L452" s="364">
        <v>0</v>
      </c>
    </row>
    <row r="453" spans="1:12" s="1" customFormat="1" ht="14.4" x14ac:dyDescent="0.3">
      <c r="A453" s="366"/>
      <c r="B453" s="362"/>
      <c r="C453" s="417" t="s">
        <v>164</v>
      </c>
      <c r="D453" s="364">
        <v>0</v>
      </c>
      <c r="E453" s="271">
        <v>2130.4323300000001</v>
      </c>
      <c r="F453" s="271">
        <v>2130.4323300000001</v>
      </c>
      <c r="G453" s="364">
        <v>0</v>
      </c>
      <c r="H453" s="364"/>
      <c r="I453" s="364">
        <v>0</v>
      </c>
      <c r="J453" s="364">
        <v>0</v>
      </c>
      <c r="K453" s="364"/>
      <c r="L453" s="364">
        <v>0</v>
      </c>
    </row>
    <row r="454" spans="1:12" s="1" customFormat="1" ht="40.200000000000003" x14ac:dyDescent="0.3">
      <c r="A454" s="242" t="s">
        <v>444</v>
      </c>
      <c r="B454" s="242"/>
      <c r="C454" s="245" t="s">
        <v>443</v>
      </c>
      <c r="D454" s="268">
        <f>D455+D488+D492</f>
        <v>132709.36888000002</v>
      </c>
      <c r="E454" s="268">
        <f>E455+E488+E492</f>
        <v>32.700000000000003</v>
      </c>
      <c r="F454" s="268">
        <f>F455+F488+F492</f>
        <v>132742.06888000001</v>
      </c>
      <c r="G454" s="268">
        <f>G455+G488</f>
        <v>66288.280500000008</v>
      </c>
      <c r="H454" s="268">
        <f>H455+H488+H492</f>
        <v>2115.9315699999997</v>
      </c>
      <c r="I454" s="268">
        <f>I455+I488+I492</f>
        <v>68404.212069999994</v>
      </c>
      <c r="J454" s="268">
        <f>J455+J488</f>
        <v>64960.5</v>
      </c>
      <c r="K454" s="268">
        <f>K455+K488</f>
        <v>0</v>
      </c>
      <c r="L454" s="268">
        <f>L455+L488</f>
        <v>64960.5</v>
      </c>
    </row>
    <row r="455" spans="1:12" s="1" customFormat="1" ht="40.200000000000003" x14ac:dyDescent="0.3">
      <c r="A455" s="31" t="s">
        <v>442</v>
      </c>
      <c r="B455" s="31"/>
      <c r="C455" s="52" t="s">
        <v>441</v>
      </c>
      <c r="D455" s="269">
        <f>D456+D461+D464+D473+D476</f>
        <v>126469.56888000001</v>
      </c>
      <c r="E455" s="269">
        <f>E456+E461+E464+E473+E476+E482</f>
        <v>0</v>
      </c>
      <c r="F455" s="269">
        <f>F456+F461+F464+F473+F476+F482</f>
        <v>126469.56888000001</v>
      </c>
      <c r="G455" s="269">
        <f>G456+G461+G464+G473+G476</f>
        <v>60946.680500000002</v>
      </c>
      <c r="H455" s="269">
        <f>H456+H461+H464+H473+H476+H482</f>
        <v>1815.5315699999999</v>
      </c>
      <c r="I455" s="269">
        <f>I456+I461+I464+I473+I476+I482</f>
        <v>62762.212069999994</v>
      </c>
      <c r="J455" s="269">
        <f>J456+J461+J464+J473+J476</f>
        <v>59618.9</v>
      </c>
      <c r="K455" s="269">
        <f>K456+K461+K464+K473+K476</f>
        <v>0</v>
      </c>
      <c r="L455" s="269">
        <f>L456+L461+L464+L473+L476</f>
        <v>59618.9</v>
      </c>
    </row>
    <row r="456" spans="1:12" s="1" customFormat="1" ht="53.4" x14ac:dyDescent="0.3">
      <c r="A456" s="223" t="s">
        <v>440</v>
      </c>
      <c r="B456" s="223"/>
      <c r="C456" s="224" t="s">
        <v>921</v>
      </c>
      <c r="D456" s="270">
        <f>D457+D459</f>
        <v>542.79999999999995</v>
      </c>
      <c r="E456" s="270">
        <f t="shared" ref="E456:L456" si="55">E457+E459</f>
        <v>0</v>
      </c>
      <c r="F456" s="270">
        <f t="shared" si="55"/>
        <v>542.79999999999995</v>
      </c>
      <c r="G456" s="270">
        <f t="shared" si="55"/>
        <v>542.79999999999995</v>
      </c>
      <c r="H456" s="270"/>
      <c r="I456" s="270">
        <f t="shared" si="55"/>
        <v>542.79999999999995</v>
      </c>
      <c r="J456" s="270">
        <f t="shared" si="55"/>
        <v>542.79999999999995</v>
      </c>
      <c r="K456" s="270"/>
      <c r="L456" s="270">
        <f t="shared" si="55"/>
        <v>542.79999999999995</v>
      </c>
    </row>
    <row r="457" spans="1:12" s="1" customFormat="1" ht="40.200000000000003" x14ac:dyDescent="0.3">
      <c r="A457" s="7" t="s">
        <v>841</v>
      </c>
      <c r="B457" s="61"/>
      <c r="C457" s="6" t="s">
        <v>439</v>
      </c>
      <c r="D457" s="271">
        <f t="shared" ref="D457:L459" si="56">D458</f>
        <v>542.79999999999995</v>
      </c>
      <c r="E457" s="271">
        <f t="shared" si="56"/>
        <v>-539.5</v>
      </c>
      <c r="F457" s="271">
        <f t="shared" si="56"/>
        <v>3.2999999999999545</v>
      </c>
      <c r="G457" s="271">
        <f t="shared" si="56"/>
        <v>542.79999999999995</v>
      </c>
      <c r="H457" s="345"/>
      <c r="I457" s="271">
        <f t="shared" si="56"/>
        <v>542.79999999999995</v>
      </c>
      <c r="J457" s="271">
        <f t="shared" si="56"/>
        <v>542.79999999999995</v>
      </c>
      <c r="K457" s="271"/>
      <c r="L457" s="271">
        <f t="shared" si="56"/>
        <v>542.79999999999995</v>
      </c>
    </row>
    <row r="458" spans="1:12" s="1" customFormat="1" ht="27" x14ac:dyDescent="0.3">
      <c r="A458" s="7"/>
      <c r="B458" s="7" t="s">
        <v>12</v>
      </c>
      <c r="C458" s="6" t="s">
        <v>11</v>
      </c>
      <c r="D458" s="271">
        <v>542.79999999999995</v>
      </c>
      <c r="E458" s="271">
        <v>-539.5</v>
      </c>
      <c r="F458" s="271">
        <f>542.8-539.5</f>
        <v>3.2999999999999545</v>
      </c>
      <c r="G458" s="271">
        <v>542.79999999999995</v>
      </c>
      <c r="H458" s="345"/>
      <c r="I458" s="271">
        <v>542.79999999999995</v>
      </c>
      <c r="J458" s="271">
        <v>542.79999999999995</v>
      </c>
      <c r="K458" s="271"/>
      <c r="L458" s="271">
        <v>542.79999999999995</v>
      </c>
    </row>
    <row r="459" spans="1:12" s="1" customFormat="1" ht="27" x14ac:dyDescent="0.3">
      <c r="A459" s="7" t="s">
        <v>920</v>
      </c>
      <c r="B459" s="61"/>
      <c r="C459" s="6" t="s">
        <v>919</v>
      </c>
      <c r="D459" s="271">
        <f t="shared" si="56"/>
        <v>0</v>
      </c>
      <c r="E459" s="271">
        <f t="shared" si="56"/>
        <v>539.5</v>
      </c>
      <c r="F459" s="271">
        <f t="shared" si="56"/>
        <v>539.5</v>
      </c>
      <c r="G459" s="271">
        <f t="shared" si="56"/>
        <v>0</v>
      </c>
      <c r="H459" s="345"/>
      <c r="I459" s="271">
        <f t="shared" si="56"/>
        <v>0</v>
      </c>
      <c r="J459" s="271">
        <f t="shared" si="56"/>
        <v>0</v>
      </c>
      <c r="K459" s="271"/>
      <c r="L459" s="271">
        <f t="shared" si="56"/>
        <v>0</v>
      </c>
    </row>
    <row r="460" spans="1:12" s="1" customFormat="1" ht="27" x14ac:dyDescent="0.3">
      <c r="A460" s="7"/>
      <c r="B460" s="7" t="s">
        <v>12</v>
      </c>
      <c r="C460" s="6" t="s">
        <v>11</v>
      </c>
      <c r="D460" s="271">
        <v>0</v>
      </c>
      <c r="E460" s="271">
        <v>539.5</v>
      </c>
      <c r="F460" s="271">
        <v>539.5</v>
      </c>
      <c r="G460" s="271">
        <v>0</v>
      </c>
      <c r="H460" s="345"/>
      <c r="I460" s="271">
        <v>0</v>
      </c>
      <c r="J460" s="271">
        <v>0</v>
      </c>
      <c r="K460" s="271"/>
      <c r="L460" s="271">
        <v>0</v>
      </c>
    </row>
    <row r="461" spans="1:12" s="1" customFormat="1" ht="27" x14ac:dyDescent="0.3">
      <c r="A461" s="223" t="s">
        <v>438</v>
      </c>
      <c r="B461" s="223"/>
      <c r="C461" s="224" t="s">
        <v>437</v>
      </c>
      <c r="D461" s="270">
        <f>D462</f>
        <v>285</v>
      </c>
      <c r="E461" s="270"/>
      <c r="F461" s="270">
        <f>F462</f>
        <v>285</v>
      </c>
      <c r="G461" s="270">
        <v>0</v>
      </c>
      <c r="H461" s="350"/>
      <c r="I461" s="270">
        <v>0</v>
      </c>
      <c r="J461" s="270">
        <v>0</v>
      </c>
      <c r="K461" s="270"/>
      <c r="L461" s="270">
        <v>0</v>
      </c>
    </row>
    <row r="462" spans="1:12" s="1" customFormat="1" ht="40.200000000000003" x14ac:dyDescent="0.3">
      <c r="A462" s="7" t="s">
        <v>840</v>
      </c>
      <c r="B462" s="61"/>
      <c r="C462" s="6" t="s">
        <v>620</v>
      </c>
      <c r="D462" s="271">
        <f>D463</f>
        <v>285</v>
      </c>
      <c r="E462" s="271"/>
      <c r="F462" s="271">
        <f>F463</f>
        <v>285</v>
      </c>
      <c r="G462" s="271">
        <v>0</v>
      </c>
      <c r="H462" s="345"/>
      <c r="I462" s="271">
        <v>0</v>
      </c>
      <c r="J462" s="271">
        <v>0</v>
      </c>
      <c r="K462" s="271"/>
      <c r="L462" s="271">
        <v>0</v>
      </c>
    </row>
    <row r="463" spans="1:12" s="1" customFormat="1" ht="27" x14ac:dyDescent="0.3">
      <c r="A463" s="7"/>
      <c r="B463" s="7" t="s">
        <v>12</v>
      </c>
      <c r="C463" s="6" t="s">
        <v>11</v>
      </c>
      <c r="D463" s="271">
        <v>285</v>
      </c>
      <c r="E463" s="271"/>
      <c r="F463" s="271">
        <v>285</v>
      </c>
      <c r="G463" s="271">
        <v>0</v>
      </c>
      <c r="H463" s="345"/>
      <c r="I463" s="271">
        <v>0</v>
      </c>
      <c r="J463" s="271">
        <v>0</v>
      </c>
      <c r="K463" s="271"/>
      <c r="L463" s="271">
        <v>0</v>
      </c>
    </row>
    <row r="464" spans="1:12" s="1" customFormat="1" ht="27" x14ac:dyDescent="0.3">
      <c r="A464" s="223" t="s">
        <v>436</v>
      </c>
      <c r="B464" s="223"/>
      <c r="C464" s="224" t="s">
        <v>435</v>
      </c>
      <c r="D464" s="270">
        <f>D465+D469+D471</f>
        <v>43526.311170000001</v>
      </c>
      <c r="E464" s="270"/>
      <c r="F464" s="270">
        <f>F465+F469+F471</f>
        <v>43526.311170000001</v>
      </c>
      <c r="G464" s="270">
        <f>G465</f>
        <v>27092.2</v>
      </c>
      <c r="H464" s="270">
        <f>H465+H469+H471</f>
        <v>1688.3</v>
      </c>
      <c r="I464" s="270">
        <f>I465+I469+I471</f>
        <v>28780.5</v>
      </c>
      <c r="J464" s="270">
        <f>J465</f>
        <v>27092.2</v>
      </c>
      <c r="K464" s="270"/>
      <c r="L464" s="270">
        <f>L465</f>
        <v>27092.2</v>
      </c>
    </row>
    <row r="465" spans="1:12" s="1" customFormat="1" ht="27" x14ac:dyDescent="0.3">
      <c r="A465" s="7" t="s">
        <v>835</v>
      </c>
      <c r="B465" s="61"/>
      <c r="C465" s="6" t="s">
        <v>434</v>
      </c>
      <c r="D465" s="271">
        <f>D466</f>
        <v>29030.11117</v>
      </c>
      <c r="E465" s="271"/>
      <c r="F465" s="271">
        <f>F466</f>
        <v>29030.11117</v>
      </c>
      <c r="G465" s="271">
        <f>G466</f>
        <v>27092.2</v>
      </c>
      <c r="H465" s="345"/>
      <c r="I465" s="271">
        <f>I466</f>
        <v>27092.2</v>
      </c>
      <c r="J465" s="271">
        <f>J466</f>
        <v>27092.2</v>
      </c>
      <c r="K465" s="271"/>
      <c r="L465" s="271">
        <f>L466</f>
        <v>27092.2</v>
      </c>
    </row>
    <row r="466" spans="1:12" s="1" customFormat="1" ht="27" x14ac:dyDescent="0.3">
      <c r="A466" s="7"/>
      <c r="B466" s="7" t="s">
        <v>12</v>
      </c>
      <c r="C466" s="6" t="s">
        <v>11</v>
      </c>
      <c r="D466" s="271">
        <f>D467+D468</f>
        <v>29030.11117</v>
      </c>
      <c r="E466" s="271"/>
      <c r="F466" s="271">
        <f>F467+F468</f>
        <v>29030.11117</v>
      </c>
      <c r="G466" s="271">
        <f>G467+G468</f>
        <v>27092.2</v>
      </c>
      <c r="H466" s="345"/>
      <c r="I466" s="271">
        <f>I467+I468</f>
        <v>27092.2</v>
      </c>
      <c r="J466" s="271">
        <f>J467+J468</f>
        <v>27092.2</v>
      </c>
      <c r="K466" s="271"/>
      <c r="L466" s="271">
        <f>L467+L468</f>
        <v>27092.2</v>
      </c>
    </row>
    <row r="467" spans="1:12" s="1" customFormat="1" ht="14.4" x14ac:dyDescent="0.3">
      <c r="A467" s="7"/>
      <c r="B467" s="7"/>
      <c r="C467" s="6" t="s">
        <v>238</v>
      </c>
      <c r="D467" s="271">
        <v>26127.1</v>
      </c>
      <c r="E467" s="271"/>
      <c r="F467" s="271">
        <v>26127.1</v>
      </c>
      <c r="G467" s="271">
        <v>24383</v>
      </c>
      <c r="H467" s="345"/>
      <c r="I467" s="271">
        <v>24383</v>
      </c>
      <c r="J467" s="271">
        <v>24383</v>
      </c>
      <c r="K467" s="271"/>
      <c r="L467" s="271">
        <v>24383</v>
      </c>
    </row>
    <row r="468" spans="1:12" s="1" customFormat="1" ht="14.4" x14ac:dyDescent="0.3">
      <c r="A468" s="7"/>
      <c r="B468" s="7"/>
      <c r="C468" s="6" t="s">
        <v>106</v>
      </c>
      <c r="D468" s="271">
        <v>2903.0111700000002</v>
      </c>
      <c r="E468" s="271"/>
      <c r="F468" s="271">
        <v>2903.0111700000002</v>
      </c>
      <c r="G468" s="271">
        <v>2709.2</v>
      </c>
      <c r="H468" s="345"/>
      <c r="I468" s="271">
        <v>2709.2</v>
      </c>
      <c r="J468" s="271">
        <v>2709.2</v>
      </c>
      <c r="K468" s="271"/>
      <c r="L468" s="271">
        <v>2709.2</v>
      </c>
    </row>
    <row r="469" spans="1:12" s="1" customFormat="1" ht="27" x14ac:dyDescent="0.3">
      <c r="A469" s="7" t="s">
        <v>839</v>
      </c>
      <c r="B469" s="61"/>
      <c r="C469" s="6" t="s">
        <v>433</v>
      </c>
      <c r="D469" s="271">
        <f>D470</f>
        <v>4858.5</v>
      </c>
      <c r="E469" s="271"/>
      <c r="F469" s="271">
        <f>F470</f>
        <v>4858.5</v>
      </c>
      <c r="G469" s="271">
        <f>G470</f>
        <v>0</v>
      </c>
      <c r="H469" s="345">
        <f>H470</f>
        <v>1688.3</v>
      </c>
      <c r="I469" s="271">
        <f>I470</f>
        <v>1688.3</v>
      </c>
      <c r="J469" s="271">
        <f>J470</f>
        <v>0</v>
      </c>
      <c r="K469" s="271"/>
      <c r="L469" s="271">
        <f>L470</f>
        <v>0</v>
      </c>
    </row>
    <row r="470" spans="1:12" s="1" customFormat="1" ht="27" x14ac:dyDescent="0.3">
      <c r="A470" s="7"/>
      <c r="B470" s="7" t="s">
        <v>12</v>
      </c>
      <c r="C470" s="6" t="s">
        <v>11</v>
      </c>
      <c r="D470" s="271">
        <f>4060.9+797.6</f>
        <v>4858.5</v>
      </c>
      <c r="E470" s="271"/>
      <c r="F470" s="271">
        <f>4060.9+797.6</f>
        <v>4858.5</v>
      </c>
      <c r="G470" s="271">
        <v>0</v>
      </c>
      <c r="H470" s="345">
        <f>488.3+1200</f>
        <v>1688.3</v>
      </c>
      <c r="I470" s="271">
        <f>488.3+1200</f>
        <v>1688.3</v>
      </c>
      <c r="J470" s="271">
        <v>0</v>
      </c>
      <c r="K470" s="271"/>
      <c r="L470" s="271">
        <v>0</v>
      </c>
    </row>
    <row r="471" spans="1:12" s="1" customFormat="1" ht="14.4" x14ac:dyDescent="0.3">
      <c r="A471" s="7" t="s">
        <v>838</v>
      </c>
      <c r="B471" s="61"/>
      <c r="C471" s="6" t="s">
        <v>432</v>
      </c>
      <c r="D471" s="271">
        <f>D472</f>
        <v>9637.6999999999989</v>
      </c>
      <c r="E471" s="271"/>
      <c r="F471" s="271">
        <f>F472</f>
        <v>9637.6999999999989</v>
      </c>
      <c r="G471" s="271">
        <f>G472</f>
        <v>0</v>
      </c>
      <c r="H471" s="345"/>
      <c r="I471" s="271">
        <f>I472</f>
        <v>0</v>
      </c>
      <c r="J471" s="271">
        <f>J472</f>
        <v>0</v>
      </c>
      <c r="K471" s="271"/>
      <c r="L471" s="271">
        <f>L472</f>
        <v>0</v>
      </c>
    </row>
    <row r="472" spans="1:12" s="1" customFormat="1" ht="27" x14ac:dyDescent="0.3">
      <c r="A472" s="99"/>
      <c r="B472" s="7" t="s">
        <v>12</v>
      </c>
      <c r="C472" s="6" t="s">
        <v>11</v>
      </c>
      <c r="D472" s="271">
        <f>8354.4+1283.3</f>
        <v>9637.6999999999989</v>
      </c>
      <c r="E472" s="271"/>
      <c r="F472" s="271">
        <f>8354.4+1283.3</f>
        <v>9637.6999999999989</v>
      </c>
      <c r="G472" s="271">
        <v>0</v>
      </c>
      <c r="H472" s="345"/>
      <c r="I472" s="271">
        <v>0</v>
      </c>
      <c r="J472" s="271">
        <v>0</v>
      </c>
      <c r="K472" s="271"/>
      <c r="L472" s="271">
        <v>0</v>
      </c>
    </row>
    <row r="473" spans="1:12" s="1" customFormat="1" ht="27" x14ac:dyDescent="0.3">
      <c r="A473" s="223" t="s">
        <v>431</v>
      </c>
      <c r="B473" s="223"/>
      <c r="C473" s="224" t="s">
        <v>430</v>
      </c>
      <c r="D473" s="270">
        <f t="shared" ref="D473:L474" si="57">D474</f>
        <v>31983.9</v>
      </c>
      <c r="E473" s="270"/>
      <c r="F473" s="270">
        <f t="shared" si="57"/>
        <v>31983.9</v>
      </c>
      <c r="G473" s="270">
        <f t="shared" si="57"/>
        <v>31983.9</v>
      </c>
      <c r="H473" s="350"/>
      <c r="I473" s="270">
        <f t="shared" si="57"/>
        <v>31983.9</v>
      </c>
      <c r="J473" s="270">
        <f t="shared" si="57"/>
        <v>31983.9</v>
      </c>
      <c r="K473" s="270"/>
      <c r="L473" s="270">
        <f t="shared" si="57"/>
        <v>31983.9</v>
      </c>
    </row>
    <row r="474" spans="1:12" s="1" customFormat="1" ht="40.200000000000003" x14ac:dyDescent="0.3">
      <c r="A474" s="7" t="s">
        <v>837</v>
      </c>
      <c r="B474" s="61"/>
      <c r="C474" s="6" t="s">
        <v>429</v>
      </c>
      <c r="D474" s="271">
        <f t="shared" si="57"/>
        <v>31983.9</v>
      </c>
      <c r="E474" s="271"/>
      <c r="F474" s="271">
        <f t="shared" si="57"/>
        <v>31983.9</v>
      </c>
      <c r="G474" s="271">
        <f t="shared" si="57"/>
        <v>31983.9</v>
      </c>
      <c r="H474" s="345"/>
      <c r="I474" s="271">
        <f t="shared" si="57"/>
        <v>31983.9</v>
      </c>
      <c r="J474" s="271">
        <f t="shared" si="57"/>
        <v>31983.9</v>
      </c>
      <c r="K474" s="271"/>
      <c r="L474" s="271">
        <f t="shared" si="57"/>
        <v>31983.9</v>
      </c>
    </row>
    <row r="475" spans="1:12" s="1" customFormat="1" ht="27" x14ac:dyDescent="0.3">
      <c r="A475" s="7"/>
      <c r="B475" s="7" t="s">
        <v>12</v>
      </c>
      <c r="C475" s="6" t="s">
        <v>11</v>
      </c>
      <c r="D475" s="271">
        <v>31983.9</v>
      </c>
      <c r="E475" s="271"/>
      <c r="F475" s="271">
        <v>31983.9</v>
      </c>
      <c r="G475" s="271">
        <v>31983.9</v>
      </c>
      <c r="H475" s="345"/>
      <c r="I475" s="271">
        <v>31983.9</v>
      </c>
      <c r="J475" s="271">
        <v>31983.9</v>
      </c>
      <c r="K475" s="271"/>
      <c r="L475" s="271">
        <v>31983.9</v>
      </c>
    </row>
    <row r="476" spans="1:12" s="1" customFormat="1" ht="40.5" customHeight="1" x14ac:dyDescent="0.3">
      <c r="A476" s="223" t="s">
        <v>428</v>
      </c>
      <c r="B476" s="223"/>
      <c r="C476" s="226" t="s">
        <v>427</v>
      </c>
      <c r="D476" s="270">
        <f t="shared" ref="D476:L477" si="58">D477</f>
        <v>50131.557710000001</v>
      </c>
      <c r="E476" s="270">
        <f t="shared" si="58"/>
        <v>-50131.557710000001</v>
      </c>
      <c r="F476" s="270">
        <f t="shared" si="58"/>
        <v>0</v>
      </c>
      <c r="G476" s="270">
        <f t="shared" si="58"/>
        <v>1327.7805000000001</v>
      </c>
      <c r="H476" s="270">
        <f t="shared" si="58"/>
        <v>-1327.7805000000001</v>
      </c>
      <c r="I476" s="270">
        <f t="shared" si="58"/>
        <v>0</v>
      </c>
      <c r="J476" s="270">
        <f t="shared" si="58"/>
        <v>0</v>
      </c>
      <c r="K476" s="270"/>
      <c r="L476" s="270">
        <f t="shared" si="58"/>
        <v>0</v>
      </c>
    </row>
    <row r="477" spans="1:12" s="1" customFormat="1" ht="27" x14ac:dyDescent="0.3">
      <c r="A477" s="7" t="s">
        <v>426</v>
      </c>
      <c r="B477" s="7"/>
      <c r="C477" s="435" t="s">
        <v>425</v>
      </c>
      <c r="D477" s="271">
        <f t="shared" si="58"/>
        <v>50131.557710000001</v>
      </c>
      <c r="E477" s="271">
        <f t="shared" si="58"/>
        <v>-50131.557710000001</v>
      </c>
      <c r="F477" s="271">
        <f t="shared" si="58"/>
        <v>0</v>
      </c>
      <c r="G477" s="271">
        <f t="shared" si="58"/>
        <v>1327.7805000000001</v>
      </c>
      <c r="H477" s="271">
        <f t="shared" si="58"/>
        <v>-1327.7805000000001</v>
      </c>
      <c r="I477" s="271">
        <f t="shared" si="58"/>
        <v>0</v>
      </c>
      <c r="J477" s="271">
        <f t="shared" si="58"/>
        <v>0</v>
      </c>
      <c r="K477" s="271"/>
      <c r="L477" s="271">
        <f t="shared" si="58"/>
        <v>0</v>
      </c>
    </row>
    <row r="478" spans="1:12" s="1" customFormat="1" ht="27" x14ac:dyDescent="0.3">
      <c r="A478" s="7"/>
      <c r="B478" s="7" t="s">
        <v>12</v>
      </c>
      <c r="C478" s="6" t="s">
        <v>11</v>
      </c>
      <c r="D478" s="271">
        <f t="shared" ref="D478:L478" si="59">D479+D480+D481</f>
        <v>50131.557710000001</v>
      </c>
      <c r="E478" s="271">
        <f t="shared" si="59"/>
        <v>-50131.557710000001</v>
      </c>
      <c r="F478" s="271">
        <f t="shared" si="59"/>
        <v>0</v>
      </c>
      <c r="G478" s="271">
        <f t="shared" si="59"/>
        <v>1327.7805000000001</v>
      </c>
      <c r="H478" s="271">
        <f t="shared" si="59"/>
        <v>-1327.7805000000001</v>
      </c>
      <c r="I478" s="271">
        <f t="shared" si="59"/>
        <v>0</v>
      </c>
      <c r="J478" s="271">
        <f t="shared" si="59"/>
        <v>0</v>
      </c>
      <c r="K478" s="271"/>
      <c r="L478" s="271">
        <f t="shared" si="59"/>
        <v>0</v>
      </c>
    </row>
    <row r="479" spans="1:12" s="1" customFormat="1" ht="14.4" x14ac:dyDescent="0.3">
      <c r="A479" s="7"/>
      <c r="B479" s="7"/>
      <c r="C479" s="6" t="s">
        <v>115</v>
      </c>
      <c r="D479" s="271">
        <v>47403.956680000003</v>
      </c>
      <c r="E479" s="271">
        <v>-47403.956680000003</v>
      </c>
      <c r="F479" s="271">
        <f>SUM(D479:E479)</f>
        <v>0</v>
      </c>
      <c r="G479" s="271">
        <v>0</v>
      </c>
      <c r="H479" s="271"/>
      <c r="I479" s="271">
        <v>0</v>
      </c>
      <c r="J479" s="271">
        <v>0</v>
      </c>
      <c r="K479" s="271"/>
      <c r="L479" s="271">
        <v>0</v>
      </c>
    </row>
    <row r="480" spans="1:12" s="1" customFormat="1" ht="14.4" x14ac:dyDescent="0.3">
      <c r="A480" s="7"/>
      <c r="B480" s="7"/>
      <c r="C480" s="6" t="s">
        <v>114</v>
      </c>
      <c r="D480" s="271">
        <v>2494.9450700000002</v>
      </c>
      <c r="E480" s="271">
        <v>-2494.9450700000002</v>
      </c>
      <c r="F480" s="271">
        <f>SUM(D480:E480)</f>
        <v>0</v>
      </c>
      <c r="G480" s="271">
        <v>0</v>
      </c>
      <c r="H480" s="271"/>
      <c r="I480" s="271">
        <v>0</v>
      </c>
      <c r="J480" s="271">
        <v>0</v>
      </c>
      <c r="K480" s="271"/>
      <c r="L480" s="271">
        <v>0</v>
      </c>
    </row>
    <row r="481" spans="1:12" s="1" customFormat="1" ht="14.4" x14ac:dyDescent="0.3">
      <c r="A481" s="7"/>
      <c r="B481" s="7"/>
      <c r="C481" s="6" t="s">
        <v>106</v>
      </c>
      <c r="D481" s="271">
        <v>232.65595999999999</v>
      </c>
      <c r="E481" s="271">
        <v>-232.65595999999999</v>
      </c>
      <c r="F481" s="271">
        <f>SUM(D481:E481)</f>
        <v>0</v>
      </c>
      <c r="G481" s="271">
        <v>1327.7805000000001</v>
      </c>
      <c r="H481" s="271">
        <v>-1327.7805000000001</v>
      </c>
      <c r="I481" s="271">
        <f>G481+H481</f>
        <v>0</v>
      </c>
      <c r="J481" s="271">
        <v>0</v>
      </c>
      <c r="K481" s="271"/>
      <c r="L481" s="271">
        <v>0</v>
      </c>
    </row>
    <row r="482" spans="1:12" s="1" customFormat="1" ht="41.25" customHeight="1" x14ac:dyDescent="0.3">
      <c r="A482" s="223" t="s">
        <v>887</v>
      </c>
      <c r="B482" s="223"/>
      <c r="C482" s="226" t="s">
        <v>427</v>
      </c>
      <c r="D482" s="270">
        <f t="shared" ref="D482:L483" si="60">D483</f>
        <v>0</v>
      </c>
      <c r="E482" s="270">
        <f t="shared" si="60"/>
        <v>50131.557710000001</v>
      </c>
      <c r="F482" s="270">
        <f t="shared" si="60"/>
        <v>50131.557710000001</v>
      </c>
      <c r="G482" s="270">
        <f t="shared" si="60"/>
        <v>0</v>
      </c>
      <c r="H482" s="270">
        <f t="shared" si="60"/>
        <v>1455.01207</v>
      </c>
      <c r="I482" s="270">
        <f t="shared" si="60"/>
        <v>1455.01207</v>
      </c>
      <c r="J482" s="270">
        <f t="shared" si="60"/>
        <v>0</v>
      </c>
      <c r="K482" s="270"/>
      <c r="L482" s="270">
        <f t="shared" si="60"/>
        <v>0</v>
      </c>
    </row>
    <row r="483" spans="1:12" s="1" customFormat="1" ht="27" x14ac:dyDescent="0.3">
      <c r="A483" s="7" t="s">
        <v>888</v>
      </c>
      <c r="B483" s="7"/>
      <c r="C483" s="435" t="s">
        <v>425</v>
      </c>
      <c r="D483" s="271">
        <f t="shared" si="60"/>
        <v>0</v>
      </c>
      <c r="E483" s="271">
        <f t="shared" si="60"/>
        <v>50131.557710000001</v>
      </c>
      <c r="F483" s="271">
        <f t="shared" si="60"/>
        <v>50131.557710000001</v>
      </c>
      <c r="G483" s="271">
        <f t="shared" si="60"/>
        <v>0</v>
      </c>
      <c r="H483" s="271">
        <f t="shared" si="60"/>
        <v>1455.01207</v>
      </c>
      <c r="I483" s="271">
        <f t="shared" si="60"/>
        <v>1455.01207</v>
      </c>
      <c r="J483" s="271">
        <f t="shared" si="60"/>
        <v>0</v>
      </c>
      <c r="K483" s="271"/>
      <c r="L483" s="271">
        <f t="shared" si="60"/>
        <v>0</v>
      </c>
    </row>
    <row r="484" spans="1:12" s="1" customFormat="1" ht="27" x14ac:dyDescent="0.3">
      <c r="A484" s="7"/>
      <c r="B484" s="7" t="s">
        <v>12</v>
      </c>
      <c r="C484" s="6" t="s">
        <v>11</v>
      </c>
      <c r="D484" s="271">
        <v>0</v>
      </c>
      <c r="E484" s="271">
        <f t="shared" ref="E484:L484" si="61">E485+E486+E487</f>
        <v>50131.557710000001</v>
      </c>
      <c r="F484" s="271">
        <f t="shared" si="61"/>
        <v>50131.557710000001</v>
      </c>
      <c r="G484" s="271">
        <f t="shared" si="61"/>
        <v>0</v>
      </c>
      <c r="H484" s="271">
        <f t="shared" si="61"/>
        <v>1455.01207</v>
      </c>
      <c r="I484" s="271">
        <f t="shared" si="61"/>
        <v>1455.01207</v>
      </c>
      <c r="J484" s="271">
        <f t="shared" si="61"/>
        <v>0</v>
      </c>
      <c r="K484" s="271"/>
      <c r="L484" s="271">
        <f t="shared" si="61"/>
        <v>0</v>
      </c>
    </row>
    <row r="485" spans="1:12" s="1" customFormat="1" ht="14.4" x14ac:dyDescent="0.3">
      <c r="A485" s="7"/>
      <c r="B485" s="7"/>
      <c r="C485" s="6" t="s">
        <v>115</v>
      </c>
      <c r="D485" s="271">
        <v>0</v>
      </c>
      <c r="E485" s="271">
        <v>47403.956680000003</v>
      </c>
      <c r="F485" s="271">
        <v>47403.956680000003</v>
      </c>
      <c r="G485" s="271">
        <v>0</v>
      </c>
      <c r="H485" s="271">
        <v>0</v>
      </c>
      <c r="I485" s="271">
        <v>0</v>
      </c>
      <c r="J485" s="271">
        <v>0</v>
      </c>
      <c r="K485" s="271"/>
      <c r="L485" s="271">
        <v>0</v>
      </c>
    </row>
    <row r="486" spans="1:12" s="1" customFormat="1" ht="14.4" x14ac:dyDescent="0.3">
      <c r="A486" s="7"/>
      <c r="B486" s="7"/>
      <c r="C486" s="6" t="s">
        <v>114</v>
      </c>
      <c r="D486" s="271">
        <v>0</v>
      </c>
      <c r="E486" s="271">
        <v>2494.9450700000002</v>
      </c>
      <c r="F486" s="271">
        <v>2494.9450700000002</v>
      </c>
      <c r="G486" s="271">
        <v>0</v>
      </c>
      <c r="H486" s="271">
        <v>0</v>
      </c>
      <c r="I486" s="271">
        <v>0</v>
      </c>
      <c r="J486" s="271">
        <v>0</v>
      </c>
      <c r="K486" s="271"/>
      <c r="L486" s="271">
        <v>0</v>
      </c>
    </row>
    <row r="487" spans="1:12" s="1" customFormat="1" ht="14.4" x14ac:dyDescent="0.3">
      <c r="A487" s="7"/>
      <c r="B487" s="7"/>
      <c r="C487" s="6" t="s">
        <v>106</v>
      </c>
      <c r="D487" s="271">
        <v>0</v>
      </c>
      <c r="E487" s="271">
        <v>232.65595999999999</v>
      </c>
      <c r="F487" s="271">
        <f>250.74825-18.09229</f>
        <v>232.65596000000002</v>
      </c>
      <c r="G487" s="271">
        <v>0</v>
      </c>
      <c r="H487" s="271">
        <f>1327.7805+127.23157</f>
        <v>1455.01207</v>
      </c>
      <c r="I487" s="271">
        <f>G487+H487</f>
        <v>1455.01207</v>
      </c>
      <c r="J487" s="271">
        <v>0</v>
      </c>
      <c r="K487" s="271"/>
      <c r="L487" s="271">
        <v>0</v>
      </c>
    </row>
    <row r="488" spans="1:12" s="1" customFormat="1" ht="40.200000000000003" x14ac:dyDescent="0.3">
      <c r="A488" s="31" t="s">
        <v>451</v>
      </c>
      <c r="B488" s="31"/>
      <c r="C488" s="52" t="s">
        <v>450</v>
      </c>
      <c r="D488" s="269">
        <f>D489</f>
        <v>5341.6</v>
      </c>
      <c r="E488" s="269"/>
      <c r="F488" s="269">
        <f>F489</f>
        <v>5341.6</v>
      </c>
      <c r="G488" s="269">
        <f t="shared" ref="G488:L490" si="62">G489</f>
        <v>5341.6</v>
      </c>
      <c r="H488" s="349"/>
      <c r="I488" s="269">
        <f t="shared" si="62"/>
        <v>5341.6</v>
      </c>
      <c r="J488" s="269">
        <f t="shared" si="62"/>
        <v>5341.6</v>
      </c>
      <c r="K488" s="269"/>
      <c r="L488" s="269">
        <f t="shared" si="62"/>
        <v>5341.6</v>
      </c>
    </row>
    <row r="489" spans="1:12" s="1" customFormat="1" ht="53.4" x14ac:dyDescent="0.3">
      <c r="A489" s="223" t="s">
        <v>449</v>
      </c>
      <c r="B489" s="223"/>
      <c r="C489" s="224" t="s">
        <v>448</v>
      </c>
      <c r="D489" s="270">
        <f>D490</f>
        <v>5341.6</v>
      </c>
      <c r="E489" s="270"/>
      <c r="F489" s="270">
        <f>F490</f>
        <v>5341.6</v>
      </c>
      <c r="G489" s="270">
        <f t="shared" si="62"/>
        <v>5341.6</v>
      </c>
      <c r="H489" s="350"/>
      <c r="I489" s="270">
        <f t="shared" si="62"/>
        <v>5341.6</v>
      </c>
      <c r="J489" s="270">
        <f t="shared" si="62"/>
        <v>5341.6</v>
      </c>
      <c r="K489" s="270"/>
      <c r="L489" s="270">
        <f t="shared" si="62"/>
        <v>5341.6</v>
      </c>
    </row>
    <row r="490" spans="1:12" s="1" customFormat="1" ht="53.4" x14ac:dyDescent="0.3">
      <c r="A490" s="7" t="s">
        <v>447</v>
      </c>
      <c r="B490" s="61"/>
      <c r="C490" s="6" t="s">
        <v>654</v>
      </c>
      <c r="D490" s="271">
        <f>D491</f>
        <v>5341.6</v>
      </c>
      <c r="E490" s="271"/>
      <c r="F490" s="271">
        <f>F491</f>
        <v>5341.6</v>
      </c>
      <c r="G490" s="271">
        <f t="shared" si="62"/>
        <v>5341.6</v>
      </c>
      <c r="H490" s="345"/>
      <c r="I490" s="271">
        <f t="shared" si="62"/>
        <v>5341.6</v>
      </c>
      <c r="J490" s="271">
        <f t="shared" si="62"/>
        <v>5341.6</v>
      </c>
      <c r="K490" s="271"/>
      <c r="L490" s="271">
        <f t="shared" si="62"/>
        <v>5341.6</v>
      </c>
    </row>
    <row r="491" spans="1:12" s="1" customFormat="1" ht="27" x14ac:dyDescent="0.3">
      <c r="A491" s="7"/>
      <c r="B491" s="7" t="s">
        <v>12</v>
      </c>
      <c r="C491" s="6" t="s">
        <v>11</v>
      </c>
      <c r="D491" s="271">
        <v>5341.6</v>
      </c>
      <c r="E491" s="271"/>
      <c r="F491" s="271">
        <v>5341.6</v>
      </c>
      <c r="G491" s="271">
        <v>5341.6</v>
      </c>
      <c r="H491" s="345"/>
      <c r="I491" s="271">
        <v>5341.6</v>
      </c>
      <c r="J491" s="271">
        <v>5341.6</v>
      </c>
      <c r="K491" s="271"/>
      <c r="L491" s="271">
        <v>5341.6</v>
      </c>
    </row>
    <row r="492" spans="1:12" s="1" customFormat="1" ht="53.4" x14ac:dyDescent="0.3">
      <c r="A492" s="31" t="s">
        <v>424</v>
      </c>
      <c r="B492" s="31"/>
      <c r="C492" s="52" t="s">
        <v>423</v>
      </c>
      <c r="D492" s="269">
        <f>D493</f>
        <v>898.2</v>
      </c>
      <c r="E492" s="269">
        <f>E496</f>
        <v>32.700000000000003</v>
      </c>
      <c r="F492" s="269">
        <f>F493+F496</f>
        <v>930.90000000000009</v>
      </c>
      <c r="G492" s="269">
        <v>0</v>
      </c>
      <c r="H492" s="269">
        <f>H493+H496</f>
        <v>300.39999999999998</v>
      </c>
      <c r="I492" s="269">
        <f>I493+I496</f>
        <v>300.39999999999998</v>
      </c>
      <c r="J492" s="269">
        <v>0</v>
      </c>
      <c r="K492" s="269"/>
      <c r="L492" s="269">
        <v>0</v>
      </c>
    </row>
    <row r="493" spans="1:12" s="1" customFormat="1" ht="42" customHeight="1" x14ac:dyDescent="0.3">
      <c r="A493" s="223" t="s">
        <v>422</v>
      </c>
      <c r="B493" s="223"/>
      <c r="C493" s="238" t="s">
        <v>421</v>
      </c>
      <c r="D493" s="270">
        <f>D494</f>
        <v>898.2</v>
      </c>
      <c r="E493" s="270"/>
      <c r="F493" s="270">
        <f>F494</f>
        <v>898.2</v>
      </c>
      <c r="G493" s="270">
        <v>0</v>
      </c>
      <c r="H493" s="350"/>
      <c r="I493" s="270">
        <v>0</v>
      </c>
      <c r="J493" s="270">
        <v>0</v>
      </c>
      <c r="K493" s="270"/>
      <c r="L493" s="270">
        <v>0</v>
      </c>
    </row>
    <row r="494" spans="1:12" s="1" customFormat="1" ht="40.200000000000003" x14ac:dyDescent="0.3">
      <c r="A494" s="7" t="s">
        <v>836</v>
      </c>
      <c r="B494" s="7"/>
      <c r="C494" s="105" t="s">
        <v>420</v>
      </c>
      <c r="D494" s="271">
        <f>D495</f>
        <v>898.2</v>
      </c>
      <c r="E494" s="271"/>
      <c r="F494" s="271">
        <f>F495</f>
        <v>898.2</v>
      </c>
      <c r="G494" s="271">
        <v>0</v>
      </c>
      <c r="H494" s="345"/>
      <c r="I494" s="271">
        <v>0</v>
      </c>
      <c r="J494" s="271">
        <v>0</v>
      </c>
      <c r="K494" s="271"/>
      <c r="L494" s="271">
        <v>0</v>
      </c>
    </row>
    <row r="495" spans="1:12" s="1" customFormat="1" ht="27" x14ac:dyDescent="0.3">
      <c r="A495" s="7"/>
      <c r="B495" s="7" t="s">
        <v>12</v>
      </c>
      <c r="C495" s="6" t="s">
        <v>11</v>
      </c>
      <c r="D495" s="271">
        <v>898.2</v>
      </c>
      <c r="E495" s="271"/>
      <c r="F495" s="271">
        <v>898.2</v>
      </c>
      <c r="G495" s="271">
        <v>0</v>
      </c>
      <c r="H495" s="345"/>
      <c r="I495" s="271">
        <v>0</v>
      </c>
      <c r="J495" s="271">
        <v>0</v>
      </c>
      <c r="K495" s="271"/>
      <c r="L495" s="271">
        <v>0</v>
      </c>
    </row>
    <row r="496" spans="1:12" s="1" customFormat="1" ht="40.200000000000003" x14ac:dyDescent="0.3">
      <c r="A496" s="223" t="s">
        <v>883</v>
      </c>
      <c r="B496" s="223"/>
      <c r="C496" s="238" t="s">
        <v>884</v>
      </c>
      <c r="D496" s="270">
        <f t="shared" ref="D496:F497" si="63">D497</f>
        <v>0</v>
      </c>
      <c r="E496" s="270">
        <f t="shared" si="63"/>
        <v>32.700000000000003</v>
      </c>
      <c r="F496" s="270">
        <f t="shared" si="63"/>
        <v>32.700000000000003</v>
      </c>
      <c r="G496" s="270">
        <v>0</v>
      </c>
      <c r="H496" s="350">
        <f>H497</f>
        <v>300.39999999999998</v>
      </c>
      <c r="I496" s="350">
        <f>I497</f>
        <v>300.39999999999998</v>
      </c>
      <c r="J496" s="270">
        <v>0</v>
      </c>
      <c r="K496" s="270"/>
      <c r="L496" s="270">
        <v>0</v>
      </c>
    </row>
    <row r="497" spans="1:12" s="1" customFormat="1" ht="40.200000000000003" x14ac:dyDescent="0.3">
      <c r="A497" s="362" t="s">
        <v>885</v>
      </c>
      <c r="B497" s="362"/>
      <c r="C497" s="371" t="s">
        <v>886</v>
      </c>
      <c r="D497" s="364">
        <f t="shared" si="63"/>
        <v>0</v>
      </c>
      <c r="E497" s="364">
        <f t="shared" si="63"/>
        <v>32.700000000000003</v>
      </c>
      <c r="F497" s="364">
        <f t="shared" si="63"/>
        <v>32.700000000000003</v>
      </c>
      <c r="G497" s="364">
        <f>G498</f>
        <v>0</v>
      </c>
      <c r="H497" s="364">
        <f>H498</f>
        <v>300.39999999999998</v>
      </c>
      <c r="I497" s="364">
        <f>I498</f>
        <v>300.39999999999998</v>
      </c>
      <c r="J497" s="364">
        <f>J498</f>
        <v>0</v>
      </c>
      <c r="K497" s="364"/>
      <c r="L497" s="364">
        <f>L498</f>
        <v>0</v>
      </c>
    </row>
    <row r="498" spans="1:12" s="1" customFormat="1" ht="27" x14ac:dyDescent="0.3">
      <c r="A498" s="362"/>
      <c r="B498" s="7" t="s">
        <v>12</v>
      </c>
      <c r="C498" s="6" t="s">
        <v>11</v>
      </c>
      <c r="D498" s="364">
        <v>0</v>
      </c>
      <c r="E498" s="364">
        <v>32.700000000000003</v>
      </c>
      <c r="F498" s="364">
        <v>32.700000000000003</v>
      </c>
      <c r="G498" s="364">
        <v>0</v>
      </c>
      <c r="H498" s="364">
        <v>300.39999999999998</v>
      </c>
      <c r="I498" s="364">
        <v>300.39999999999998</v>
      </c>
      <c r="J498" s="364">
        <v>0</v>
      </c>
      <c r="K498" s="364"/>
      <c r="L498" s="364">
        <v>0</v>
      </c>
    </row>
    <row r="499" spans="1:12" s="1" customFormat="1" ht="53.4" x14ac:dyDescent="0.3">
      <c r="A499" s="242" t="s">
        <v>323</v>
      </c>
      <c r="B499" s="242"/>
      <c r="C499" s="245" t="s">
        <v>322</v>
      </c>
      <c r="D499" s="268">
        <f>D512+D500</f>
        <v>8730.6788299999989</v>
      </c>
      <c r="E499" s="268">
        <f>E512+E500+E506</f>
        <v>0</v>
      </c>
      <c r="F499" s="268">
        <f>F512+F500+F506</f>
        <v>8730.6788299999989</v>
      </c>
      <c r="G499" s="268">
        <f>G512+G500</f>
        <v>8479.7084899999991</v>
      </c>
      <c r="H499" s="268">
        <f>H512+H500+H506</f>
        <v>0</v>
      </c>
      <c r="I499" s="268">
        <f>I512+I500+I506</f>
        <v>8479.7084899999991</v>
      </c>
      <c r="J499" s="268">
        <f>J512+J500</f>
        <v>8233.9601700000003</v>
      </c>
      <c r="K499" s="268">
        <f>K512+K500+K506</f>
        <v>0</v>
      </c>
      <c r="L499" s="268">
        <f>L512+L500+L506</f>
        <v>8233.9601700000003</v>
      </c>
    </row>
    <row r="500" spans="1:12" s="1" customFormat="1" ht="40.200000000000003" x14ac:dyDescent="0.3">
      <c r="A500" s="223" t="s">
        <v>814</v>
      </c>
      <c r="B500" s="231"/>
      <c r="C500" s="224" t="s">
        <v>815</v>
      </c>
      <c r="D500" s="270">
        <f>D501</f>
        <v>6415.7461299999995</v>
      </c>
      <c r="E500" s="270">
        <f>E501</f>
        <v>-6415.7461299999995</v>
      </c>
      <c r="F500" s="270">
        <f t="shared" ref="F500:L501" si="64">F501</f>
        <v>0</v>
      </c>
      <c r="G500" s="270">
        <f t="shared" si="64"/>
        <v>6164.7757899999997</v>
      </c>
      <c r="H500" s="270">
        <f t="shared" si="64"/>
        <v>-6164.7757899999997</v>
      </c>
      <c r="I500" s="270">
        <f t="shared" si="64"/>
        <v>0</v>
      </c>
      <c r="J500" s="270">
        <f t="shared" si="64"/>
        <v>5919.0274700000009</v>
      </c>
      <c r="K500" s="270">
        <f t="shared" si="64"/>
        <v>-5919.0274700000009</v>
      </c>
      <c r="L500" s="270">
        <f t="shared" si="64"/>
        <v>0</v>
      </c>
    </row>
    <row r="501" spans="1:12" s="1" customFormat="1" ht="40.200000000000003" x14ac:dyDescent="0.3">
      <c r="A501" s="99" t="s">
        <v>816</v>
      </c>
      <c r="B501" s="55"/>
      <c r="C501" s="435" t="s">
        <v>817</v>
      </c>
      <c r="D501" s="271">
        <f>D502</f>
        <v>6415.7461299999995</v>
      </c>
      <c r="E501" s="271">
        <f>E502</f>
        <v>-6415.7461299999995</v>
      </c>
      <c r="F501" s="271">
        <f t="shared" si="64"/>
        <v>0</v>
      </c>
      <c r="G501" s="271">
        <f t="shared" si="64"/>
        <v>6164.7757899999997</v>
      </c>
      <c r="H501" s="271">
        <f t="shared" si="64"/>
        <v>-6164.7757899999997</v>
      </c>
      <c r="I501" s="271">
        <f t="shared" si="64"/>
        <v>0</v>
      </c>
      <c r="J501" s="271">
        <f t="shared" si="64"/>
        <v>5919.0274700000009</v>
      </c>
      <c r="K501" s="271">
        <f t="shared" si="64"/>
        <v>-5919.0274700000009</v>
      </c>
      <c r="L501" s="271">
        <f t="shared" si="64"/>
        <v>0</v>
      </c>
    </row>
    <row r="502" spans="1:12" s="1" customFormat="1" ht="27" x14ac:dyDescent="0.3">
      <c r="A502" s="99"/>
      <c r="B502" s="7" t="s">
        <v>12</v>
      </c>
      <c r="C502" s="6" t="s">
        <v>11</v>
      </c>
      <c r="D502" s="271">
        <f t="shared" ref="D502:L502" si="65">D503+D504+D505</f>
        <v>6415.7461299999995</v>
      </c>
      <c r="E502" s="271">
        <f t="shared" si="65"/>
        <v>-6415.7461299999995</v>
      </c>
      <c r="F502" s="271">
        <f t="shared" si="65"/>
        <v>0</v>
      </c>
      <c r="G502" s="271">
        <f t="shared" si="65"/>
        <v>6164.7757899999997</v>
      </c>
      <c r="H502" s="271">
        <f t="shared" si="65"/>
        <v>-6164.7757899999997</v>
      </c>
      <c r="I502" s="271">
        <f t="shared" si="65"/>
        <v>0</v>
      </c>
      <c r="J502" s="271">
        <f t="shared" si="65"/>
        <v>5919.0274700000009</v>
      </c>
      <c r="K502" s="271">
        <f t="shared" si="65"/>
        <v>-5919.0274700000009</v>
      </c>
      <c r="L502" s="271">
        <f t="shared" si="65"/>
        <v>0</v>
      </c>
    </row>
    <row r="503" spans="1:12" s="1" customFormat="1" ht="14.4" x14ac:dyDescent="0.3">
      <c r="A503" s="99"/>
      <c r="B503" s="7"/>
      <c r="C503" s="6" t="s">
        <v>115</v>
      </c>
      <c r="D503" s="271">
        <v>5543.2046600000003</v>
      </c>
      <c r="E503" s="271">
        <v>-5543.2046600000003</v>
      </c>
      <c r="F503" s="271">
        <v>0</v>
      </c>
      <c r="G503" s="271">
        <v>5326.3662800000002</v>
      </c>
      <c r="H503" s="271">
        <v>-5326.3662800000002</v>
      </c>
      <c r="I503" s="271">
        <v>0</v>
      </c>
      <c r="J503" s="271">
        <v>5114.0397300000004</v>
      </c>
      <c r="K503" s="271">
        <v>-5114.0397300000004</v>
      </c>
      <c r="L503" s="271">
        <v>0</v>
      </c>
    </row>
    <row r="504" spans="1:12" s="1" customFormat="1" ht="14.4" x14ac:dyDescent="0.3">
      <c r="A504" s="99"/>
      <c r="B504" s="7"/>
      <c r="C504" s="6" t="s">
        <v>114</v>
      </c>
      <c r="D504" s="271">
        <v>230.96686</v>
      </c>
      <c r="E504" s="271">
        <v>-230.96686</v>
      </c>
      <c r="F504" s="271">
        <v>0</v>
      </c>
      <c r="G504" s="271">
        <v>221.93192999999999</v>
      </c>
      <c r="H504" s="271">
        <v>-221.93192999999999</v>
      </c>
      <c r="I504" s="271">
        <v>0</v>
      </c>
      <c r="J504" s="271">
        <v>213.08499</v>
      </c>
      <c r="K504" s="271">
        <v>-213.08499</v>
      </c>
      <c r="L504" s="271">
        <v>0</v>
      </c>
    </row>
    <row r="505" spans="1:12" s="1" customFormat="1" ht="14.4" x14ac:dyDescent="0.3">
      <c r="A505" s="99"/>
      <c r="B505" s="7"/>
      <c r="C505" s="6" t="s">
        <v>106</v>
      </c>
      <c r="D505" s="271">
        <v>641.57461000000001</v>
      </c>
      <c r="E505" s="271">
        <v>-641.57461000000001</v>
      </c>
      <c r="F505" s="271">
        <v>0</v>
      </c>
      <c r="G505" s="271">
        <v>616.47757999999999</v>
      </c>
      <c r="H505" s="271">
        <v>-616.47757999999999</v>
      </c>
      <c r="I505" s="271">
        <v>0</v>
      </c>
      <c r="J505" s="271">
        <v>591.90274999999997</v>
      </c>
      <c r="K505" s="271">
        <v>-591.90274999999997</v>
      </c>
      <c r="L505" s="271">
        <v>0</v>
      </c>
    </row>
    <row r="506" spans="1:12" s="1" customFormat="1" ht="40.200000000000003" x14ac:dyDescent="0.3">
      <c r="A506" s="369" t="s">
        <v>889</v>
      </c>
      <c r="B506" s="231"/>
      <c r="C506" s="373" t="s">
        <v>891</v>
      </c>
      <c r="D506" s="270">
        <f>D507</f>
        <v>0</v>
      </c>
      <c r="E506" s="270">
        <f>E507</f>
        <v>6415.7461299999995</v>
      </c>
      <c r="F506" s="270">
        <f t="shared" ref="F506:L507" si="66">F507</f>
        <v>6415.7461299999995</v>
      </c>
      <c r="G506" s="270">
        <f t="shared" si="66"/>
        <v>0</v>
      </c>
      <c r="H506" s="270">
        <f t="shared" si="66"/>
        <v>6164.7757899999997</v>
      </c>
      <c r="I506" s="270">
        <f t="shared" si="66"/>
        <v>6164.7757899999997</v>
      </c>
      <c r="J506" s="270">
        <f t="shared" si="66"/>
        <v>0</v>
      </c>
      <c r="K506" s="270">
        <f t="shared" si="66"/>
        <v>5919.0274700000009</v>
      </c>
      <c r="L506" s="270">
        <f t="shared" si="66"/>
        <v>5919.0274700000009</v>
      </c>
    </row>
    <row r="507" spans="1:12" s="1" customFormat="1" ht="40.200000000000003" x14ac:dyDescent="0.3">
      <c r="A507" s="372" t="s">
        <v>890</v>
      </c>
      <c r="B507" s="55"/>
      <c r="C507" s="435" t="s">
        <v>817</v>
      </c>
      <c r="D507" s="271">
        <f>D508</f>
        <v>0</v>
      </c>
      <c r="E507" s="271">
        <f>E508</f>
        <v>6415.7461299999995</v>
      </c>
      <c r="F507" s="271">
        <f t="shared" si="66"/>
        <v>6415.7461299999995</v>
      </c>
      <c r="G507" s="271">
        <f t="shared" si="66"/>
        <v>0</v>
      </c>
      <c r="H507" s="271">
        <f t="shared" si="66"/>
        <v>6164.7757899999997</v>
      </c>
      <c r="I507" s="271">
        <f t="shared" si="66"/>
        <v>6164.7757899999997</v>
      </c>
      <c r="J507" s="271">
        <f t="shared" si="66"/>
        <v>0</v>
      </c>
      <c r="K507" s="271">
        <f t="shared" si="66"/>
        <v>5919.0274700000009</v>
      </c>
      <c r="L507" s="271">
        <f t="shared" si="66"/>
        <v>5919.0274700000009</v>
      </c>
    </row>
    <row r="508" spans="1:12" s="1" customFormat="1" ht="27" x14ac:dyDescent="0.3">
      <c r="A508" s="99"/>
      <c r="B508" s="7" t="s">
        <v>12</v>
      </c>
      <c r="C508" s="6" t="s">
        <v>11</v>
      </c>
      <c r="D508" s="271">
        <f>D509+D510+D511</f>
        <v>0</v>
      </c>
      <c r="E508" s="271">
        <f>E509+E510+E511</f>
        <v>6415.7461299999995</v>
      </c>
      <c r="F508" s="271">
        <f>F509+F510+F511</f>
        <v>6415.7461299999995</v>
      </c>
      <c r="G508" s="271">
        <v>0</v>
      </c>
      <c r="H508" s="271">
        <f>H509+H510+H511</f>
        <v>6164.7757899999997</v>
      </c>
      <c r="I508" s="271">
        <f>I509+I510+I511</f>
        <v>6164.7757899999997</v>
      </c>
      <c r="J508" s="271">
        <v>0</v>
      </c>
      <c r="K508" s="271">
        <f>K509+K510+K511</f>
        <v>5919.0274700000009</v>
      </c>
      <c r="L508" s="271">
        <f>L509+L510+L511</f>
        <v>5919.0274700000009</v>
      </c>
    </row>
    <row r="509" spans="1:12" s="1" customFormat="1" ht="14.4" x14ac:dyDescent="0.3">
      <c r="A509" s="99"/>
      <c r="B509" s="7"/>
      <c r="C509" s="6" t="s">
        <v>115</v>
      </c>
      <c r="D509" s="271">
        <v>0</v>
      </c>
      <c r="E509" s="271">
        <v>5543.2046600000003</v>
      </c>
      <c r="F509" s="271">
        <v>5543.2046600000003</v>
      </c>
      <c r="G509" s="271">
        <v>0</v>
      </c>
      <c r="H509" s="271">
        <v>5326.3662800000002</v>
      </c>
      <c r="I509" s="271">
        <v>5326.3662800000002</v>
      </c>
      <c r="J509" s="271">
        <v>0</v>
      </c>
      <c r="K509" s="271">
        <v>5114.0397300000004</v>
      </c>
      <c r="L509" s="271">
        <v>5114.0397300000004</v>
      </c>
    </row>
    <row r="510" spans="1:12" s="1" customFormat="1" ht="14.4" x14ac:dyDescent="0.3">
      <c r="A510" s="99"/>
      <c r="B510" s="7"/>
      <c r="C510" s="6" t="s">
        <v>114</v>
      </c>
      <c r="D510" s="271">
        <v>0</v>
      </c>
      <c r="E510" s="271">
        <v>230.96686</v>
      </c>
      <c r="F510" s="271">
        <v>230.96686</v>
      </c>
      <c r="G510" s="271">
        <v>0</v>
      </c>
      <c r="H510" s="271">
        <v>221.93192999999999</v>
      </c>
      <c r="I510" s="271">
        <v>221.93192999999999</v>
      </c>
      <c r="J510" s="271">
        <v>0</v>
      </c>
      <c r="K510" s="271">
        <v>213.08499</v>
      </c>
      <c r="L510" s="271">
        <v>213.08499</v>
      </c>
    </row>
    <row r="511" spans="1:12" s="1" customFormat="1" ht="14.4" x14ac:dyDescent="0.3">
      <c r="A511" s="99"/>
      <c r="B511" s="7"/>
      <c r="C511" s="6" t="s">
        <v>106</v>
      </c>
      <c r="D511" s="271">
        <v>0</v>
      </c>
      <c r="E511" s="271">
        <v>641.57461000000001</v>
      </c>
      <c r="F511" s="271">
        <v>641.57461000000001</v>
      </c>
      <c r="G511" s="271">
        <v>0</v>
      </c>
      <c r="H511" s="271">
        <v>616.47757999999999</v>
      </c>
      <c r="I511" s="271">
        <v>616.47757999999999</v>
      </c>
      <c r="J511" s="271">
        <v>0</v>
      </c>
      <c r="K511" s="271">
        <v>591.90274999999997</v>
      </c>
      <c r="L511" s="271">
        <v>591.90274999999997</v>
      </c>
    </row>
    <row r="512" spans="1:12" s="1" customFormat="1" ht="40.200000000000003" x14ac:dyDescent="0.3">
      <c r="A512" s="223" t="s">
        <v>321</v>
      </c>
      <c r="B512" s="231"/>
      <c r="C512" s="224" t="s">
        <v>320</v>
      </c>
      <c r="D512" s="270">
        <f t="shared" ref="D512:L513" si="67">D513</f>
        <v>2314.9326999999998</v>
      </c>
      <c r="E512" s="270"/>
      <c r="F512" s="270">
        <f t="shared" si="67"/>
        <v>2314.9326999999998</v>
      </c>
      <c r="G512" s="270">
        <f t="shared" si="67"/>
        <v>2314.9326999999998</v>
      </c>
      <c r="H512" s="350"/>
      <c r="I512" s="270">
        <f t="shared" si="67"/>
        <v>2314.9326999999998</v>
      </c>
      <c r="J512" s="270">
        <f t="shared" si="67"/>
        <v>2314.9326999999998</v>
      </c>
      <c r="K512" s="270"/>
      <c r="L512" s="270">
        <f t="shared" si="67"/>
        <v>2314.9326999999998</v>
      </c>
    </row>
    <row r="513" spans="1:12" s="1" customFormat="1" ht="53.4" x14ac:dyDescent="0.3">
      <c r="A513" s="99" t="s">
        <v>319</v>
      </c>
      <c r="B513" s="55"/>
      <c r="C513" s="6" t="s">
        <v>750</v>
      </c>
      <c r="D513" s="271">
        <f t="shared" si="67"/>
        <v>2314.9326999999998</v>
      </c>
      <c r="E513" s="271"/>
      <c r="F513" s="271">
        <f t="shared" si="67"/>
        <v>2314.9326999999998</v>
      </c>
      <c r="G513" s="271">
        <f t="shared" si="67"/>
        <v>2314.9326999999998</v>
      </c>
      <c r="H513" s="345"/>
      <c r="I513" s="271">
        <f t="shared" si="67"/>
        <v>2314.9326999999998</v>
      </c>
      <c r="J513" s="271">
        <f t="shared" si="67"/>
        <v>2314.9326999999998</v>
      </c>
      <c r="K513" s="271"/>
      <c r="L513" s="271">
        <f t="shared" si="67"/>
        <v>2314.9326999999998</v>
      </c>
    </row>
    <row r="514" spans="1:12" s="1" customFormat="1" ht="27" x14ac:dyDescent="0.3">
      <c r="A514" s="99"/>
      <c r="B514" s="7" t="s">
        <v>12</v>
      </c>
      <c r="C514" s="6" t="s">
        <v>11</v>
      </c>
      <c r="D514" s="271">
        <f>D515+D516</f>
        <v>2314.9326999999998</v>
      </c>
      <c r="E514" s="271"/>
      <c r="F514" s="271">
        <f>F515+F516</f>
        <v>2314.9326999999998</v>
      </c>
      <c r="G514" s="271">
        <f>G515+G516</f>
        <v>2314.9326999999998</v>
      </c>
      <c r="H514" s="345"/>
      <c r="I514" s="271">
        <f>I515+I516</f>
        <v>2314.9326999999998</v>
      </c>
      <c r="J514" s="271">
        <f>J515+J516</f>
        <v>2314.9326999999998</v>
      </c>
      <c r="K514" s="271"/>
      <c r="L514" s="271">
        <f>L515+L516</f>
        <v>2314.9326999999998</v>
      </c>
    </row>
    <row r="515" spans="1:12" s="1" customFormat="1" ht="14.4" x14ac:dyDescent="0.3">
      <c r="A515" s="99"/>
      <c r="B515" s="7"/>
      <c r="C515" s="6" t="s">
        <v>114</v>
      </c>
      <c r="D515" s="271">
        <v>2083.4394299999999</v>
      </c>
      <c r="E515" s="271"/>
      <c r="F515" s="271">
        <v>2083.4394299999999</v>
      </c>
      <c r="G515" s="271">
        <v>2083.4394299999999</v>
      </c>
      <c r="H515" s="345"/>
      <c r="I515" s="271">
        <v>2083.4394299999999</v>
      </c>
      <c r="J515" s="271">
        <v>2083.4394299999999</v>
      </c>
      <c r="K515" s="271"/>
      <c r="L515" s="271">
        <v>2083.4394299999999</v>
      </c>
    </row>
    <row r="516" spans="1:12" s="1" customFormat="1" ht="14.4" x14ac:dyDescent="0.3">
      <c r="A516" s="99"/>
      <c r="B516" s="7"/>
      <c r="C516" s="6" t="s">
        <v>106</v>
      </c>
      <c r="D516" s="271">
        <v>231.49327</v>
      </c>
      <c r="E516" s="271"/>
      <c r="F516" s="271">
        <v>231.49327</v>
      </c>
      <c r="G516" s="271">
        <v>231.49327</v>
      </c>
      <c r="H516" s="345"/>
      <c r="I516" s="271">
        <v>231.49327</v>
      </c>
      <c r="J516" s="271">
        <v>231.49327</v>
      </c>
      <c r="K516" s="271"/>
      <c r="L516" s="271">
        <v>231.49327</v>
      </c>
    </row>
    <row r="517" spans="1:12" s="1" customFormat="1" ht="66.599999999999994" x14ac:dyDescent="0.3">
      <c r="A517" s="242" t="s">
        <v>482</v>
      </c>
      <c r="B517" s="242"/>
      <c r="C517" s="245" t="s">
        <v>481</v>
      </c>
      <c r="D517" s="268">
        <f t="shared" ref="D517:L517" si="68">D518+D528+D536</f>
        <v>25577.9</v>
      </c>
      <c r="E517" s="268">
        <f t="shared" si="68"/>
        <v>779.8</v>
      </c>
      <c r="F517" s="268">
        <f t="shared" si="68"/>
        <v>26357.7</v>
      </c>
      <c r="G517" s="268">
        <f t="shared" si="68"/>
        <v>25416.300000000003</v>
      </c>
      <c r="H517" s="268">
        <f t="shared" si="68"/>
        <v>1378.4</v>
      </c>
      <c r="I517" s="268">
        <f t="shared" si="68"/>
        <v>26794.700000000004</v>
      </c>
      <c r="J517" s="268">
        <f t="shared" si="68"/>
        <v>33141.800000000003</v>
      </c>
      <c r="K517" s="268">
        <f t="shared" si="68"/>
        <v>1378.4</v>
      </c>
      <c r="L517" s="268">
        <f t="shared" si="68"/>
        <v>34520.200000000004</v>
      </c>
    </row>
    <row r="518" spans="1:12" s="1" customFormat="1" ht="53.4" x14ac:dyDescent="0.3">
      <c r="A518" s="223" t="s">
        <v>517</v>
      </c>
      <c r="B518" s="223"/>
      <c r="C518" s="236" t="s">
        <v>516</v>
      </c>
      <c r="D518" s="270">
        <f t="shared" ref="D518:L518" si="69">D519+D521+D523+D525</f>
        <v>20744.5</v>
      </c>
      <c r="E518" s="270">
        <f t="shared" si="69"/>
        <v>779.8</v>
      </c>
      <c r="F518" s="270">
        <f t="shared" si="69"/>
        <v>21524.3</v>
      </c>
      <c r="G518" s="270">
        <f t="shared" si="69"/>
        <v>21413.4</v>
      </c>
      <c r="H518" s="270">
        <f t="shared" si="69"/>
        <v>1378.4</v>
      </c>
      <c r="I518" s="270">
        <f t="shared" si="69"/>
        <v>22791.800000000003</v>
      </c>
      <c r="J518" s="270">
        <f t="shared" si="69"/>
        <v>21413.4</v>
      </c>
      <c r="K518" s="270">
        <f t="shared" si="69"/>
        <v>1378.4</v>
      </c>
      <c r="L518" s="270">
        <f t="shared" si="69"/>
        <v>22791.800000000003</v>
      </c>
    </row>
    <row r="519" spans="1:12" s="1" customFormat="1" ht="14.4" x14ac:dyDescent="0.3">
      <c r="A519" s="7" t="s">
        <v>515</v>
      </c>
      <c r="B519" s="7"/>
      <c r="C519" s="6" t="s">
        <v>514</v>
      </c>
      <c r="D519" s="271">
        <f>D520</f>
        <v>36.799999999999997</v>
      </c>
      <c r="E519" s="271"/>
      <c r="F519" s="271">
        <f>F520</f>
        <v>36.799999999999997</v>
      </c>
      <c r="G519" s="271">
        <f>G520</f>
        <v>36.799999999999997</v>
      </c>
      <c r="H519" s="345"/>
      <c r="I519" s="271">
        <f>I520</f>
        <v>36.799999999999997</v>
      </c>
      <c r="J519" s="271">
        <f>J520</f>
        <v>36.799999999999997</v>
      </c>
      <c r="K519" s="271"/>
      <c r="L519" s="271">
        <f>L520</f>
        <v>36.799999999999997</v>
      </c>
    </row>
    <row r="520" spans="1:12" s="1" customFormat="1" ht="27" x14ac:dyDescent="0.3">
      <c r="A520" s="7"/>
      <c r="B520" s="7" t="s">
        <v>12</v>
      </c>
      <c r="C520" s="6" t="s">
        <v>11</v>
      </c>
      <c r="D520" s="271">
        <v>36.799999999999997</v>
      </c>
      <c r="E520" s="271"/>
      <c r="F520" s="271">
        <v>36.799999999999997</v>
      </c>
      <c r="G520" s="271">
        <v>36.799999999999997</v>
      </c>
      <c r="H520" s="345"/>
      <c r="I520" s="271">
        <v>36.799999999999997</v>
      </c>
      <c r="J520" s="271">
        <v>36.799999999999997</v>
      </c>
      <c r="K520" s="271"/>
      <c r="L520" s="271">
        <v>36.799999999999997</v>
      </c>
    </row>
    <row r="521" spans="1:12" s="1" customFormat="1" ht="53.4" x14ac:dyDescent="0.3">
      <c r="A521" s="7" t="s">
        <v>513</v>
      </c>
      <c r="B521" s="7"/>
      <c r="C521" s="6" t="s">
        <v>600</v>
      </c>
      <c r="D521" s="271">
        <f>D522</f>
        <v>154.30000000000007</v>
      </c>
      <c r="E521" s="271"/>
      <c r="F521" s="271">
        <f>F522</f>
        <v>154.30000000000007</v>
      </c>
      <c r="G521" s="271">
        <f>G522</f>
        <v>115.5</v>
      </c>
      <c r="H521" s="345"/>
      <c r="I521" s="271">
        <f>I522</f>
        <v>115.5</v>
      </c>
      <c r="J521" s="271">
        <f>J522</f>
        <v>115.5</v>
      </c>
      <c r="K521" s="271"/>
      <c r="L521" s="271">
        <f>L522</f>
        <v>115.5</v>
      </c>
    </row>
    <row r="522" spans="1:12" s="1" customFormat="1" ht="27" x14ac:dyDescent="0.3">
      <c r="A522" s="7"/>
      <c r="B522" s="7" t="s">
        <v>12</v>
      </c>
      <c r="C522" s="6" t="s">
        <v>11</v>
      </c>
      <c r="D522" s="271">
        <f>833.1-678.8</f>
        <v>154.30000000000007</v>
      </c>
      <c r="E522" s="271"/>
      <c r="F522" s="271">
        <f>833.1-678.8</f>
        <v>154.30000000000007</v>
      </c>
      <c r="G522" s="271">
        <v>115.5</v>
      </c>
      <c r="H522" s="345"/>
      <c r="I522" s="271">
        <v>115.5</v>
      </c>
      <c r="J522" s="271">
        <v>115.5</v>
      </c>
      <c r="K522" s="271"/>
      <c r="L522" s="271">
        <v>115.5</v>
      </c>
    </row>
    <row r="523" spans="1:12" s="1" customFormat="1" ht="40.200000000000003" x14ac:dyDescent="0.3">
      <c r="A523" s="7" t="s">
        <v>601</v>
      </c>
      <c r="B523" s="7"/>
      <c r="C523" s="6" t="s">
        <v>602</v>
      </c>
      <c r="D523" s="271">
        <f>D524</f>
        <v>618.9</v>
      </c>
      <c r="E523" s="271"/>
      <c r="F523" s="271">
        <f>F524</f>
        <v>618.9</v>
      </c>
      <c r="G523" s="271">
        <f>G524</f>
        <v>618.9</v>
      </c>
      <c r="H523" s="345"/>
      <c r="I523" s="271">
        <f>I524</f>
        <v>618.9</v>
      </c>
      <c r="J523" s="271">
        <f>J524</f>
        <v>618.9</v>
      </c>
      <c r="K523" s="271"/>
      <c r="L523" s="271">
        <f>L524</f>
        <v>618.9</v>
      </c>
    </row>
    <row r="524" spans="1:12" ht="26.4" x14ac:dyDescent="0.25">
      <c r="A524" s="7"/>
      <c r="B524" s="7" t="s">
        <v>12</v>
      </c>
      <c r="C524" s="6" t="s">
        <v>11</v>
      </c>
      <c r="D524" s="271">
        <v>618.9</v>
      </c>
      <c r="E524" s="271"/>
      <c r="F524" s="271">
        <v>618.9</v>
      </c>
      <c r="G524" s="271">
        <v>618.9</v>
      </c>
      <c r="H524" s="345"/>
      <c r="I524" s="271">
        <v>618.9</v>
      </c>
      <c r="J524" s="271">
        <v>618.9</v>
      </c>
      <c r="K524" s="271"/>
      <c r="L524" s="271">
        <v>618.9</v>
      </c>
    </row>
    <row r="525" spans="1:12" ht="26.4" x14ac:dyDescent="0.25">
      <c r="A525" s="7" t="s">
        <v>512</v>
      </c>
      <c r="B525" s="7"/>
      <c r="C525" s="115" t="s">
        <v>511</v>
      </c>
      <c r="D525" s="271">
        <f t="shared" ref="D525:L525" si="70">D526+D527</f>
        <v>19934.5</v>
      </c>
      <c r="E525" s="271">
        <f t="shared" si="70"/>
        <v>779.8</v>
      </c>
      <c r="F525" s="271">
        <f t="shared" si="70"/>
        <v>20714.3</v>
      </c>
      <c r="G525" s="271">
        <f t="shared" si="70"/>
        <v>20642.2</v>
      </c>
      <c r="H525" s="271">
        <f t="shared" si="70"/>
        <v>1378.4</v>
      </c>
      <c r="I525" s="271">
        <f t="shared" si="70"/>
        <v>22020.600000000002</v>
      </c>
      <c r="J525" s="271">
        <f t="shared" si="70"/>
        <v>20642.2</v>
      </c>
      <c r="K525" s="271">
        <f t="shared" si="70"/>
        <v>1378.4</v>
      </c>
      <c r="L525" s="271">
        <f t="shared" si="70"/>
        <v>22020.600000000002</v>
      </c>
    </row>
    <row r="526" spans="1:12" ht="66" x14ac:dyDescent="0.25">
      <c r="A526" s="7"/>
      <c r="B526" s="7" t="s">
        <v>2</v>
      </c>
      <c r="C526" s="6" t="s">
        <v>1</v>
      </c>
      <c r="D526" s="271">
        <f>18078.8+253.7</f>
        <v>18332.5</v>
      </c>
      <c r="E526" s="271">
        <v>779.8</v>
      </c>
      <c r="F526" s="271">
        <f>18078.8+253.7+779.8</f>
        <v>19112.3</v>
      </c>
      <c r="G526" s="271">
        <f>18776.3+263.9</f>
        <v>19040.2</v>
      </c>
      <c r="H526" s="345">
        <v>1378.4</v>
      </c>
      <c r="I526" s="271">
        <f>18776.3+263.9+1378.4</f>
        <v>20418.600000000002</v>
      </c>
      <c r="J526" s="271">
        <f>18776.3+263.9</f>
        <v>19040.2</v>
      </c>
      <c r="K526" s="271">
        <v>1378.4</v>
      </c>
      <c r="L526" s="271">
        <f>18776.3+263.9+1378.4</f>
        <v>20418.600000000002</v>
      </c>
    </row>
    <row r="527" spans="1:12" ht="26.4" x14ac:dyDescent="0.25">
      <c r="A527" s="7"/>
      <c r="B527" s="7" t="s">
        <v>12</v>
      </c>
      <c r="C527" s="6" t="s">
        <v>11</v>
      </c>
      <c r="D527" s="271">
        <v>1602</v>
      </c>
      <c r="E527" s="271"/>
      <c r="F527" s="271">
        <v>1602</v>
      </c>
      <c r="G527" s="271">
        <v>1602</v>
      </c>
      <c r="H527" s="345"/>
      <c r="I527" s="271">
        <v>1602</v>
      </c>
      <c r="J527" s="271">
        <v>1602</v>
      </c>
      <c r="K527" s="271"/>
      <c r="L527" s="271">
        <v>1602</v>
      </c>
    </row>
    <row r="528" spans="1:12" ht="39.6" x14ac:dyDescent="0.25">
      <c r="A528" s="223" t="s">
        <v>508</v>
      </c>
      <c r="B528" s="223"/>
      <c r="C528" s="236" t="s">
        <v>507</v>
      </c>
      <c r="D528" s="270">
        <f>D529+D531+D534</f>
        <v>4616.2</v>
      </c>
      <c r="E528" s="270"/>
      <c r="F528" s="270">
        <f>F529+F531+F534</f>
        <v>4616.2</v>
      </c>
      <c r="G528" s="270">
        <f>G529+G531+G534</f>
        <v>3997</v>
      </c>
      <c r="H528" s="350"/>
      <c r="I528" s="270">
        <f>I529+I531+I534</f>
        <v>3997</v>
      </c>
      <c r="J528" s="270">
        <f>J529+J531+J534</f>
        <v>11722.5</v>
      </c>
      <c r="K528" s="270"/>
      <c r="L528" s="270">
        <f>L529+L531+L534</f>
        <v>11722.5</v>
      </c>
    </row>
    <row r="529" spans="1:12" ht="26.4" x14ac:dyDescent="0.25">
      <c r="A529" s="7" t="s">
        <v>506</v>
      </c>
      <c r="B529" s="7"/>
      <c r="C529" s="102" t="s">
        <v>505</v>
      </c>
      <c r="D529" s="271">
        <f>D530</f>
        <v>115.90000000000009</v>
      </c>
      <c r="E529" s="271"/>
      <c r="F529" s="271">
        <f>F530</f>
        <v>115.90000000000009</v>
      </c>
      <c r="G529" s="271">
        <f>G530</f>
        <v>115.90000000000009</v>
      </c>
      <c r="H529" s="345"/>
      <c r="I529" s="271">
        <f>I530</f>
        <v>115.90000000000009</v>
      </c>
      <c r="J529" s="271">
        <f>J530</f>
        <v>9053.2999999999993</v>
      </c>
      <c r="K529" s="271"/>
      <c r="L529" s="271">
        <f>L530</f>
        <v>9053.2999999999993</v>
      </c>
    </row>
    <row r="530" spans="1:12" ht="26.4" x14ac:dyDescent="0.25">
      <c r="A530" s="7"/>
      <c r="B530" s="7" t="s">
        <v>12</v>
      </c>
      <c r="C530" s="6" t="s">
        <v>11</v>
      </c>
      <c r="D530" s="271">
        <f>4065.8-3949.9</f>
        <v>115.90000000000009</v>
      </c>
      <c r="E530" s="271"/>
      <c r="F530" s="271">
        <f>4065.8-3949.9</f>
        <v>115.90000000000009</v>
      </c>
      <c r="G530" s="271">
        <f>2608.3-2492.4</f>
        <v>115.90000000000009</v>
      </c>
      <c r="H530" s="345"/>
      <c r="I530" s="271">
        <f>2608.3-2492.4</f>
        <v>115.90000000000009</v>
      </c>
      <c r="J530" s="271">
        <f>2611+3949.9+2492.4</f>
        <v>9053.2999999999993</v>
      </c>
      <c r="K530" s="271"/>
      <c r="L530" s="271">
        <f>2611+3949.9+2492.4</f>
        <v>9053.2999999999993</v>
      </c>
    </row>
    <row r="531" spans="1:12" ht="26.4" x14ac:dyDescent="0.25">
      <c r="A531" s="7" t="s">
        <v>504</v>
      </c>
      <c r="B531" s="7"/>
      <c r="C531" s="12" t="s">
        <v>503</v>
      </c>
      <c r="D531" s="271">
        <f>D532+D533</f>
        <v>4001.6</v>
      </c>
      <c r="E531" s="271"/>
      <c r="F531" s="271">
        <f>F532+F533</f>
        <v>4001.6</v>
      </c>
      <c r="G531" s="271">
        <f>G532+G533</f>
        <v>3395.6</v>
      </c>
      <c r="H531" s="345"/>
      <c r="I531" s="271">
        <f>I532+I533</f>
        <v>3395.6</v>
      </c>
      <c r="J531" s="271">
        <f>J532+J533</f>
        <v>2183.6999999999998</v>
      </c>
      <c r="K531" s="271"/>
      <c r="L531" s="271">
        <f>L532+L533</f>
        <v>2183.6999999999998</v>
      </c>
    </row>
    <row r="532" spans="1:12" ht="26.4" x14ac:dyDescent="0.25">
      <c r="A532" s="7"/>
      <c r="B532" s="7" t="s">
        <v>12</v>
      </c>
      <c r="C532" s="6" t="s">
        <v>11</v>
      </c>
      <c r="D532" s="279">
        <f>3894-24.3</f>
        <v>3869.7</v>
      </c>
      <c r="E532" s="279"/>
      <c r="F532" s="279">
        <f>3894-24.3</f>
        <v>3869.7</v>
      </c>
      <c r="G532" s="279">
        <f>3288-24.3</f>
        <v>3263.7</v>
      </c>
      <c r="H532" s="357"/>
      <c r="I532" s="279">
        <f>3288-24.3</f>
        <v>3263.7</v>
      </c>
      <c r="J532" s="279">
        <f>2076.1-24.3</f>
        <v>2051.7999999999997</v>
      </c>
      <c r="K532" s="279"/>
      <c r="L532" s="279">
        <f>2076.1-24.3</f>
        <v>2051.7999999999997</v>
      </c>
    </row>
    <row r="533" spans="1:12" ht="26.4" x14ac:dyDescent="0.25">
      <c r="A533" s="7"/>
      <c r="B533" s="7" t="s">
        <v>57</v>
      </c>
      <c r="C533" s="6" t="s">
        <v>56</v>
      </c>
      <c r="D533" s="279">
        <f>107.6+24.3</f>
        <v>131.9</v>
      </c>
      <c r="E533" s="279"/>
      <c r="F533" s="279">
        <f>107.6+24.3</f>
        <v>131.9</v>
      </c>
      <c r="G533" s="279">
        <f>107.6+24.3</f>
        <v>131.9</v>
      </c>
      <c r="H533" s="357"/>
      <c r="I533" s="279">
        <f>107.6+24.3</f>
        <v>131.9</v>
      </c>
      <c r="J533" s="279">
        <f>107.6+24.3</f>
        <v>131.9</v>
      </c>
      <c r="K533" s="279"/>
      <c r="L533" s="279">
        <f>107.6+24.3</f>
        <v>131.9</v>
      </c>
    </row>
    <row r="534" spans="1:12" ht="39.6" x14ac:dyDescent="0.25">
      <c r="A534" s="7" t="s">
        <v>502</v>
      </c>
      <c r="B534" s="7"/>
      <c r="C534" s="117" t="s">
        <v>655</v>
      </c>
      <c r="D534" s="271">
        <f>D535</f>
        <v>498.7</v>
      </c>
      <c r="E534" s="271"/>
      <c r="F534" s="271">
        <f>F535</f>
        <v>498.7</v>
      </c>
      <c r="G534" s="271">
        <f>G535</f>
        <v>485.5</v>
      </c>
      <c r="H534" s="345"/>
      <c r="I534" s="271">
        <f>I535</f>
        <v>485.5</v>
      </c>
      <c r="J534" s="271">
        <f>J535</f>
        <v>485.5</v>
      </c>
      <c r="K534" s="271"/>
      <c r="L534" s="271">
        <f>L535</f>
        <v>485.5</v>
      </c>
    </row>
    <row r="535" spans="1:12" ht="26.4" x14ac:dyDescent="0.25">
      <c r="A535" s="7"/>
      <c r="B535" s="7" t="s">
        <v>2</v>
      </c>
      <c r="C535" s="6" t="s">
        <v>11</v>
      </c>
      <c r="D535" s="271">
        <v>498.7</v>
      </c>
      <c r="E535" s="271"/>
      <c r="F535" s="271">
        <v>498.7</v>
      </c>
      <c r="G535" s="271">
        <v>485.5</v>
      </c>
      <c r="H535" s="345"/>
      <c r="I535" s="271">
        <v>485.5</v>
      </c>
      <c r="J535" s="271">
        <v>485.5</v>
      </c>
      <c r="K535" s="271"/>
      <c r="L535" s="271">
        <v>485.5</v>
      </c>
    </row>
    <row r="536" spans="1:12" ht="26.4" x14ac:dyDescent="0.25">
      <c r="A536" s="223" t="s">
        <v>656</v>
      </c>
      <c r="B536" s="223"/>
      <c r="C536" s="236" t="s">
        <v>657</v>
      </c>
      <c r="D536" s="270">
        <f t="shared" ref="D536:L537" si="71">D537</f>
        <v>217.2</v>
      </c>
      <c r="E536" s="270"/>
      <c r="F536" s="270">
        <f t="shared" si="71"/>
        <v>217.2</v>
      </c>
      <c r="G536" s="270">
        <f t="shared" si="71"/>
        <v>5.9</v>
      </c>
      <c r="H536" s="350"/>
      <c r="I536" s="270">
        <f t="shared" si="71"/>
        <v>5.9</v>
      </c>
      <c r="J536" s="270">
        <f t="shared" si="71"/>
        <v>5.9</v>
      </c>
      <c r="K536" s="270"/>
      <c r="L536" s="270">
        <f t="shared" si="71"/>
        <v>5.9</v>
      </c>
    </row>
    <row r="537" spans="1:12" x14ac:dyDescent="0.25">
      <c r="A537" s="140" t="s">
        <v>658</v>
      </c>
      <c r="B537" s="142"/>
      <c r="C537" s="6" t="s">
        <v>806</v>
      </c>
      <c r="D537" s="271">
        <f t="shared" si="71"/>
        <v>217.2</v>
      </c>
      <c r="E537" s="271"/>
      <c r="F537" s="271">
        <f t="shared" si="71"/>
        <v>217.2</v>
      </c>
      <c r="G537" s="271">
        <f t="shared" si="71"/>
        <v>5.9</v>
      </c>
      <c r="H537" s="345"/>
      <c r="I537" s="271">
        <f t="shared" si="71"/>
        <v>5.9</v>
      </c>
      <c r="J537" s="271">
        <f t="shared" si="71"/>
        <v>5.9</v>
      </c>
      <c r="K537" s="271"/>
      <c r="L537" s="271">
        <f t="shared" si="71"/>
        <v>5.9</v>
      </c>
    </row>
    <row r="538" spans="1:12" ht="26.4" x14ac:dyDescent="0.25">
      <c r="A538" s="142"/>
      <c r="B538" s="7" t="s">
        <v>12</v>
      </c>
      <c r="C538" s="6" t="s">
        <v>11</v>
      </c>
      <c r="D538" s="271">
        <v>217.2</v>
      </c>
      <c r="E538" s="271"/>
      <c r="F538" s="271">
        <v>217.2</v>
      </c>
      <c r="G538" s="271">
        <v>5.9</v>
      </c>
      <c r="H538" s="345"/>
      <c r="I538" s="271">
        <v>5.9</v>
      </c>
      <c r="J538" s="271">
        <v>5.9</v>
      </c>
      <c r="K538" s="271"/>
      <c r="L538" s="271">
        <v>5.9</v>
      </c>
    </row>
    <row r="539" spans="1:12" ht="52.8" x14ac:dyDescent="0.25">
      <c r="A539" s="242" t="s">
        <v>376</v>
      </c>
      <c r="B539" s="246"/>
      <c r="C539" s="245" t="s">
        <v>659</v>
      </c>
      <c r="D539" s="268">
        <v>0</v>
      </c>
      <c r="E539" s="268"/>
      <c r="F539" s="268">
        <v>0</v>
      </c>
      <c r="G539" s="268">
        <f>G541</f>
        <v>1632.7214799999999</v>
      </c>
      <c r="H539" s="348"/>
      <c r="I539" s="268">
        <f>I541</f>
        <v>1632.7214799999999</v>
      </c>
      <c r="J539" s="268">
        <f>J541</f>
        <v>3511.8345599999998</v>
      </c>
      <c r="K539" s="268"/>
      <c r="L539" s="268">
        <f>L541</f>
        <v>3511.8345599999998</v>
      </c>
    </row>
    <row r="540" spans="1:12" ht="66" x14ac:dyDescent="0.25">
      <c r="A540" s="223" t="s">
        <v>807</v>
      </c>
      <c r="B540" s="231"/>
      <c r="C540" s="224" t="s">
        <v>371</v>
      </c>
      <c r="D540" s="270">
        <v>0</v>
      </c>
      <c r="E540" s="270"/>
      <c r="F540" s="270">
        <v>0</v>
      </c>
      <c r="G540" s="270">
        <f>G541</f>
        <v>1632.7214799999999</v>
      </c>
      <c r="H540" s="350"/>
      <c r="I540" s="270">
        <f>I541</f>
        <v>1632.7214799999999</v>
      </c>
      <c r="J540" s="270">
        <f>J541</f>
        <v>3511.8345599999998</v>
      </c>
      <c r="K540" s="270"/>
      <c r="L540" s="270">
        <f>L541</f>
        <v>3511.8345599999998</v>
      </c>
    </row>
    <row r="541" spans="1:12" ht="52.8" x14ac:dyDescent="0.25">
      <c r="A541" s="205" t="s">
        <v>619</v>
      </c>
      <c r="B541" s="205"/>
      <c r="C541" s="206" t="s">
        <v>808</v>
      </c>
      <c r="D541" s="271">
        <v>0</v>
      </c>
      <c r="E541" s="271"/>
      <c r="F541" s="271">
        <v>0</v>
      </c>
      <c r="G541" s="271">
        <f>G542+G546</f>
        <v>1632.7214799999999</v>
      </c>
      <c r="H541" s="345"/>
      <c r="I541" s="271">
        <f>I542+I546</f>
        <v>1632.7214799999999</v>
      </c>
      <c r="J541" s="271">
        <f>J542+J546</f>
        <v>3511.8345599999998</v>
      </c>
      <c r="K541" s="271"/>
      <c r="L541" s="271">
        <f>L542+L546</f>
        <v>3511.8345599999998</v>
      </c>
    </row>
    <row r="542" spans="1:12" x14ac:dyDescent="0.25">
      <c r="A542" s="205"/>
      <c r="B542" s="205">
        <v>300</v>
      </c>
      <c r="C542" s="6" t="s">
        <v>78</v>
      </c>
      <c r="D542" s="271">
        <v>0</v>
      </c>
      <c r="E542" s="271"/>
      <c r="F542" s="271">
        <v>0</v>
      </c>
      <c r="G542" s="271">
        <f>G543+G544+G545</f>
        <v>1438.1224</v>
      </c>
      <c r="H542" s="345"/>
      <c r="I542" s="271">
        <f>I543+I544+I545</f>
        <v>1438.1224</v>
      </c>
      <c r="J542" s="271">
        <f>J543+J544+J545</f>
        <v>2518.7255599999999</v>
      </c>
      <c r="K542" s="271"/>
      <c r="L542" s="271">
        <f>L543+L544+L545</f>
        <v>2518.7255599999999</v>
      </c>
    </row>
    <row r="543" spans="1:12" x14ac:dyDescent="0.25">
      <c r="A543" s="207"/>
      <c r="B543" s="207"/>
      <c r="C543" s="323" t="s">
        <v>660</v>
      </c>
      <c r="D543" s="271">
        <v>0</v>
      </c>
      <c r="E543" s="271"/>
      <c r="F543" s="271">
        <v>0</v>
      </c>
      <c r="G543" s="271">
        <v>0</v>
      </c>
      <c r="H543" s="345"/>
      <c r="I543" s="271">
        <v>0</v>
      </c>
      <c r="J543" s="271">
        <v>0</v>
      </c>
      <c r="K543" s="271"/>
      <c r="L543" s="271">
        <v>0</v>
      </c>
    </row>
    <row r="544" spans="1:12" x14ac:dyDescent="0.25">
      <c r="A544" s="207"/>
      <c r="B544" s="207"/>
      <c r="C544" s="323" t="s">
        <v>661</v>
      </c>
      <c r="D544" s="271">
        <v>0</v>
      </c>
      <c r="E544" s="271"/>
      <c r="F544" s="271">
        <v>0</v>
      </c>
      <c r="G544" s="271">
        <v>0</v>
      </c>
      <c r="H544" s="345"/>
      <c r="I544" s="271">
        <v>0</v>
      </c>
      <c r="J544" s="271">
        <v>0</v>
      </c>
      <c r="K544" s="271"/>
      <c r="L544" s="271">
        <v>0</v>
      </c>
    </row>
    <row r="545" spans="1:12" x14ac:dyDescent="0.25">
      <c r="A545" s="207"/>
      <c r="B545" s="207"/>
      <c r="C545" s="206" t="s">
        <v>662</v>
      </c>
      <c r="D545" s="271">
        <v>0</v>
      </c>
      <c r="E545" s="271"/>
      <c r="F545" s="271">
        <v>0</v>
      </c>
      <c r="G545" s="271">
        <v>1438.1224</v>
      </c>
      <c r="H545" s="345"/>
      <c r="I545" s="271">
        <v>1438.1224</v>
      </c>
      <c r="J545" s="271">
        <v>2518.7255599999999</v>
      </c>
      <c r="K545" s="271"/>
      <c r="L545" s="271">
        <v>2518.7255599999999</v>
      </c>
    </row>
    <row r="546" spans="1:12" ht="39.6" x14ac:dyDescent="0.25">
      <c r="A546" s="205"/>
      <c r="B546" s="205">
        <v>400</v>
      </c>
      <c r="C546" s="6" t="s">
        <v>275</v>
      </c>
      <c r="D546" s="271">
        <v>0</v>
      </c>
      <c r="E546" s="271"/>
      <c r="F546" s="271">
        <v>0</v>
      </c>
      <c r="G546" s="271">
        <f>G547+G548+G549</f>
        <v>194.59907999999999</v>
      </c>
      <c r="H546" s="345"/>
      <c r="I546" s="271">
        <f>I547+I548+I549</f>
        <v>194.59907999999999</v>
      </c>
      <c r="J546" s="271">
        <f>J547+J548+J549</f>
        <v>993.10900000000004</v>
      </c>
      <c r="K546" s="271"/>
      <c r="L546" s="271">
        <f>L547+L548+L549</f>
        <v>993.10900000000004</v>
      </c>
    </row>
    <row r="547" spans="1:12" x14ac:dyDescent="0.25">
      <c r="A547" s="207"/>
      <c r="B547" s="207"/>
      <c r="C547" s="323" t="s">
        <v>660</v>
      </c>
      <c r="D547" s="271">
        <v>0</v>
      </c>
      <c r="E547" s="271"/>
      <c r="F547" s="271">
        <v>0</v>
      </c>
      <c r="G547" s="271">
        <v>0</v>
      </c>
      <c r="H547" s="345"/>
      <c r="I547" s="271">
        <v>0</v>
      </c>
      <c r="J547" s="271">
        <v>0</v>
      </c>
      <c r="K547" s="271"/>
      <c r="L547" s="271">
        <v>0</v>
      </c>
    </row>
    <row r="548" spans="1:12" x14ac:dyDescent="0.25">
      <c r="A548" s="207"/>
      <c r="B548" s="207"/>
      <c r="C548" s="323" t="s">
        <v>661</v>
      </c>
      <c r="D548" s="271">
        <v>0</v>
      </c>
      <c r="E548" s="271"/>
      <c r="F548" s="271">
        <v>0</v>
      </c>
      <c r="G548" s="271">
        <v>0</v>
      </c>
      <c r="H548" s="345"/>
      <c r="I548" s="271">
        <v>0</v>
      </c>
      <c r="J548" s="271">
        <v>0</v>
      </c>
      <c r="K548" s="271"/>
      <c r="L548" s="271">
        <v>0</v>
      </c>
    </row>
    <row r="549" spans="1:12" x14ac:dyDescent="0.25">
      <c r="A549" s="207"/>
      <c r="B549" s="207"/>
      <c r="C549" s="206" t="s">
        <v>662</v>
      </c>
      <c r="D549" s="271">
        <v>0</v>
      </c>
      <c r="E549" s="271"/>
      <c r="F549" s="271">
        <v>0</v>
      </c>
      <c r="G549" s="271">
        <v>194.59907999999999</v>
      </c>
      <c r="H549" s="345"/>
      <c r="I549" s="271">
        <v>194.59907999999999</v>
      </c>
      <c r="J549" s="271">
        <v>993.10900000000004</v>
      </c>
      <c r="K549" s="271"/>
      <c r="L549" s="271">
        <v>993.10900000000004</v>
      </c>
    </row>
    <row r="550" spans="1:12" ht="39.6" x14ac:dyDescent="0.25">
      <c r="A550" s="242" t="s">
        <v>402</v>
      </c>
      <c r="B550" s="246"/>
      <c r="C550" s="245" t="s">
        <v>663</v>
      </c>
      <c r="D550" s="268">
        <f>D551+D558</f>
        <v>8542.4439999999995</v>
      </c>
      <c r="E550" s="268"/>
      <c r="F550" s="268">
        <f>F551+F558</f>
        <v>8542.4439999999995</v>
      </c>
      <c r="G550" s="268">
        <f>G551+G558</f>
        <v>1040</v>
      </c>
      <c r="H550" s="348"/>
      <c r="I550" s="268">
        <f>I551+I558</f>
        <v>1040</v>
      </c>
      <c r="J550" s="268">
        <f>J551+J558</f>
        <v>638</v>
      </c>
      <c r="K550" s="268"/>
      <c r="L550" s="268">
        <f>L551+L558</f>
        <v>638</v>
      </c>
    </row>
    <row r="551" spans="1:12" ht="26.4" x14ac:dyDescent="0.25">
      <c r="A551" s="223" t="s">
        <v>400</v>
      </c>
      <c r="B551" s="231"/>
      <c r="C551" s="224" t="s">
        <v>399</v>
      </c>
      <c r="D551" s="270">
        <f>D552+D554</f>
        <v>7959.1440000000002</v>
      </c>
      <c r="E551" s="270"/>
      <c r="F551" s="270">
        <f>F552+F554</f>
        <v>7959.1440000000002</v>
      </c>
      <c r="G551" s="270">
        <f>G552+G554</f>
        <v>1040</v>
      </c>
      <c r="H551" s="350"/>
      <c r="I551" s="270">
        <f>I552+I554</f>
        <v>1040</v>
      </c>
      <c r="J551" s="270">
        <f>J552+J554</f>
        <v>638</v>
      </c>
      <c r="K551" s="270"/>
      <c r="L551" s="270">
        <f>L552+L554</f>
        <v>638</v>
      </c>
    </row>
    <row r="552" spans="1:12" x14ac:dyDescent="0.25">
      <c r="A552" s="7" t="s">
        <v>398</v>
      </c>
      <c r="B552" s="7"/>
      <c r="C552" s="6" t="s">
        <v>397</v>
      </c>
      <c r="D552" s="271">
        <f>D553</f>
        <v>315.60000000000002</v>
      </c>
      <c r="E552" s="271"/>
      <c r="F552" s="271">
        <f>F553</f>
        <v>315.60000000000002</v>
      </c>
      <c r="G552" s="271">
        <f>G553</f>
        <v>154</v>
      </c>
      <c r="H552" s="345"/>
      <c r="I552" s="271">
        <f>I553</f>
        <v>154</v>
      </c>
      <c r="J552" s="271">
        <f>J553</f>
        <v>231</v>
      </c>
      <c r="K552" s="271"/>
      <c r="L552" s="271">
        <f>L553</f>
        <v>231</v>
      </c>
    </row>
    <row r="553" spans="1:12" ht="26.4" x14ac:dyDescent="0.25">
      <c r="A553" s="7"/>
      <c r="B553" s="7" t="s">
        <v>12</v>
      </c>
      <c r="C553" s="6" t="s">
        <v>11</v>
      </c>
      <c r="D553" s="271">
        <v>315.60000000000002</v>
      </c>
      <c r="E553" s="271"/>
      <c r="F553" s="271">
        <v>315.60000000000002</v>
      </c>
      <c r="G553" s="271">
        <v>154</v>
      </c>
      <c r="H553" s="345"/>
      <c r="I553" s="271">
        <v>154</v>
      </c>
      <c r="J553" s="271">
        <v>231</v>
      </c>
      <c r="K553" s="271"/>
      <c r="L553" s="271">
        <v>231</v>
      </c>
    </row>
    <row r="554" spans="1:12" ht="26.4" x14ac:dyDescent="0.25">
      <c r="A554" s="7" t="s">
        <v>396</v>
      </c>
      <c r="B554" s="7"/>
      <c r="C554" s="6" t="s">
        <v>395</v>
      </c>
      <c r="D554" s="271">
        <f>D555</f>
        <v>7643.5439999999999</v>
      </c>
      <c r="E554" s="271"/>
      <c r="F554" s="271">
        <f>F555</f>
        <v>7643.5439999999999</v>
      </c>
      <c r="G554" s="271">
        <f>G555</f>
        <v>886</v>
      </c>
      <c r="H554" s="345"/>
      <c r="I554" s="271">
        <f>I555</f>
        <v>886</v>
      </c>
      <c r="J554" s="271">
        <f>J555</f>
        <v>407</v>
      </c>
      <c r="K554" s="271"/>
      <c r="L554" s="271">
        <f>L555</f>
        <v>407</v>
      </c>
    </row>
    <row r="555" spans="1:12" ht="26.4" x14ac:dyDescent="0.25">
      <c r="A555" s="7"/>
      <c r="B555" s="7" t="s">
        <v>12</v>
      </c>
      <c r="C555" s="6" t="s">
        <v>11</v>
      </c>
      <c r="D555" s="271">
        <f>D556+D557</f>
        <v>7643.5439999999999</v>
      </c>
      <c r="E555" s="271"/>
      <c r="F555" s="271">
        <f>F556+F557</f>
        <v>7643.5439999999999</v>
      </c>
      <c r="G555" s="271">
        <f>G556+G557</f>
        <v>886</v>
      </c>
      <c r="H555" s="345"/>
      <c r="I555" s="271">
        <f>I556+I557</f>
        <v>886</v>
      </c>
      <c r="J555" s="271">
        <f>J556+J557</f>
        <v>407</v>
      </c>
      <c r="K555" s="271"/>
      <c r="L555" s="271">
        <f>L556+L557</f>
        <v>407</v>
      </c>
    </row>
    <row r="556" spans="1:12" x14ac:dyDescent="0.25">
      <c r="A556" s="7"/>
      <c r="B556" s="7"/>
      <c r="C556" s="105" t="s">
        <v>339</v>
      </c>
      <c r="D556" s="271">
        <v>6267.7060799999999</v>
      </c>
      <c r="E556" s="271"/>
      <c r="F556" s="271">
        <v>6267.7060799999999</v>
      </c>
      <c r="G556" s="271">
        <v>0</v>
      </c>
      <c r="H556" s="345"/>
      <c r="I556" s="271">
        <v>0</v>
      </c>
      <c r="J556" s="271">
        <v>0</v>
      </c>
      <c r="K556" s="271"/>
      <c r="L556" s="271">
        <v>0</v>
      </c>
    </row>
    <row r="557" spans="1:12" x14ac:dyDescent="0.25">
      <c r="A557" s="7"/>
      <c r="B557" s="7"/>
      <c r="C557" s="6" t="s">
        <v>377</v>
      </c>
      <c r="D557" s="271">
        <v>1375.8379199999999</v>
      </c>
      <c r="E557" s="271"/>
      <c r="F557" s="271">
        <v>1375.8379199999999</v>
      </c>
      <c r="G557" s="271">
        <v>886</v>
      </c>
      <c r="H557" s="345"/>
      <c r="I557" s="271">
        <v>886</v>
      </c>
      <c r="J557" s="271">
        <v>407</v>
      </c>
      <c r="K557" s="271"/>
      <c r="L557" s="271">
        <v>407</v>
      </c>
    </row>
    <row r="558" spans="1:12" ht="66" x14ac:dyDescent="0.25">
      <c r="A558" s="223" t="s">
        <v>394</v>
      </c>
      <c r="B558" s="231"/>
      <c r="C558" s="224" t="s">
        <v>393</v>
      </c>
      <c r="D558" s="270">
        <f t="shared" ref="D558:L559" si="72">D559</f>
        <v>583.29999999999995</v>
      </c>
      <c r="E558" s="270"/>
      <c r="F558" s="270">
        <f t="shared" si="72"/>
        <v>583.29999999999995</v>
      </c>
      <c r="G558" s="270">
        <f t="shared" si="72"/>
        <v>0</v>
      </c>
      <c r="H558" s="350"/>
      <c r="I558" s="270">
        <f t="shared" si="72"/>
        <v>0</v>
      </c>
      <c r="J558" s="270">
        <f t="shared" si="72"/>
        <v>0</v>
      </c>
      <c r="K558" s="270"/>
      <c r="L558" s="270">
        <f t="shared" si="72"/>
        <v>0</v>
      </c>
    </row>
    <row r="559" spans="1:12" ht="52.8" x14ac:dyDescent="0.25">
      <c r="A559" s="7" t="s">
        <v>392</v>
      </c>
      <c r="B559" s="7"/>
      <c r="C559" s="6" t="s">
        <v>391</v>
      </c>
      <c r="D559" s="271">
        <f t="shared" si="72"/>
        <v>583.29999999999995</v>
      </c>
      <c r="E559" s="271"/>
      <c r="F559" s="271">
        <f t="shared" si="72"/>
        <v>583.29999999999995</v>
      </c>
      <c r="G559" s="271">
        <f t="shared" si="72"/>
        <v>0</v>
      </c>
      <c r="H559" s="345"/>
      <c r="I559" s="271">
        <f t="shared" si="72"/>
        <v>0</v>
      </c>
      <c r="J559" s="271">
        <f t="shared" si="72"/>
        <v>0</v>
      </c>
      <c r="K559" s="271"/>
      <c r="L559" s="271">
        <f t="shared" si="72"/>
        <v>0</v>
      </c>
    </row>
    <row r="560" spans="1:12" ht="26.4" x14ac:dyDescent="0.25">
      <c r="A560" s="7"/>
      <c r="B560" s="7" t="s">
        <v>12</v>
      </c>
      <c r="C560" s="6" t="s">
        <v>11</v>
      </c>
      <c r="D560" s="271">
        <v>583.29999999999995</v>
      </c>
      <c r="E560" s="271"/>
      <c r="F560" s="271">
        <v>583.29999999999995</v>
      </c>
      <c r="G560" s="271">
        <v>0</v>
      </c>
      <c r="H560" s="345"/>
      <c r="I560" s="271">
        <v>0</v>
      </c>
      <c r="J560" s="271">
        <v>0</v>
      </c>
      <c r="K560" s="271"/>
      <c r="L560" s="271">
        <v>0</v>
      </c>
    </row>
    <row r="561" spans="1:12" s="1" customFormat="1" ht="14.4" x14ac:dyDescent="0.3">
      <c r="A561" s="242" t="s">
        <v>18</v>
      </c>
      <c r="B561" s="242"/>
      <c r="C561" s="245" t="s">
        <v>17</v>
      </c>
      <c r="D561" s="268">
        <f t="shared" ref="D561:L561" si="73">D562+D570</f>
        <v>79486.484200000006</v>
      </c>
      <c r="E561" s="268">
        <f t="shared" si="73"/>
        <v>3078</v>
      </c>
      <c r="F561" s="268">
        <f t="shared" si="73"/>
        <v>82564.484199999992</v>
      </c>
      <c r="G561" s="268">
        <f t="shared" si="73"/>
        <v>72151.863700000002</v>
      </c>
      <c r="H561" s="268">
        <f t="shared" si="73"/>
        <v>445.6</v>
      </c>
      <c r="I561" s="268">
        <f t="shared" si="73"/>
        <v>72597.463699999993</v>
      </c>
      <c r="J561" s="268">
        <f t="shared" si="73"/>
        <v>71967.735600000015</v>
      </c>
      <c r="K561" s="268">
        <f t="shared" si="73"/>
        <v>0</v>
      </c>
      <c r="L561" s="268">
        <f t="shared" si="73"/>
        <v>71967.735600000015</v>
      </c>
    </row>
    <row r="562" spans="1:12" s="1" customFormat="1" ht="40.200000000000003" x14ac:dyDescent="0.3">
      <c r="A562" s="15" t="s">
        <v>50</v>
      </c>
      <c r="B562" s="46"/>
      <c r="C562" s="14" t="s">
        <v>49</v>
      </c>
      <c r="D562" s="280">
        <f>D563+D565+D568</f>
        <v>3343.2000000000003</v>
      </c>
      <c r="E562" s="280">
        <f>E563+E565+E568</f>
        <v>0</v>
      </c>
      <c r="F562" s="280">
        <f>F563+F565+F568</f>
        <v>3343.2000000000003</v>
      </c>
      <c r="G562" s="280">
        <f>G563+G565</f>
        <v>3279.9</v>
      </c>
      <c r="H562" s="280">
        <f>H563+H565+H568</f>
        <v>0</v>
      </c>
      <c r="I562" s="280">
        <f>I563+I565</f>
        <v>3279.9</v>
      </c>
      <c r="J562" s="280">
        <f>J563+J565</f>
        <v>3334.3</v>
      </c>
      <c r="K562" s="280">
        <f>K563+K565+K568</f>
        <v>0</v>
      </c>
      <c r="L562" s="280">
        <f>L563+L565</f>
        <v>3334.3</v>
      </c>
    </row>
    <row r="563" spans="1:12" s="1" customFormat="1" ht="27" x14ac:dyDescent="0.3">
      <c r="A563" s="7" t="s">
        <v>48</v>
      </c>
      <c r="B563" s="7"/>
      <c r="C563" s="6" t="s">
        <v>47</v>
      </c>
      <c r="D563" s="271">
        <f>D564</f>
        <v>1164</v>
      </c>
      <c r="E563" s="271"/>
      <c r="F563" s="271">
        <f>F564</f>
        <v>1164</v>
      </c>
      <c r="G563" s="271">
        <f>G564</f>
        <v>1164</v>
      </c>
      <c r="H563" s="345"/>
      <c r="I563" s="271">
        <f>I564</f>
        <v>1164</v>
      </c>
      <c r="J563" s="271">
        <f>J564</f>
        <v>1164</v>
      </c>
      <c r="K563" s="271"/>
      <c r="L563" s="271">
        <f>L564</f>
        <v>1164</v>
      </c>
    </row>
    <row r="564" spans="1:12" s="1" customFormat="1" ht="66.599999999999994" x14ac:dyDescent="0.3">
      <c r="A564" s="7"/>
      <c r="B564" s="7" t="s">
        <v>2</v>
      </c>
      <c r="C564" s="6" t="s">
        <v>1</v>
      </c>
      <c r="D564" s="271">
        <v>1164</v>
      </c>
      <c r="E564" s="271"/>
      <c r="F564" s="271">
        <v>1164</v>
      </c>
      <c r="G564" s="271">
        <v>1164</v>
      </c>
      <c r="H564" s="345"/>
      <c r="I564" s="271">
        <v>1164</v>
      </c>
      <c r="J564" s="271">
        <v>1164</v>
      </c>
      <c r="K564" s="271"/>
      <c r="L564" s="271">
        <v>1164</v>
      </c>
    </row>
    <row r="565" spans="1:12" s="1" customFormat="1" ht="27" x14ac:dyDescent="0.3">
      <c r="A565" s="7" t="s">
        <v>46</v>
      </c>
      <c r="B565" s="7"/>
      <c r="C565" s="12" t="s">
        <v>45</v>
      </c>
      <c r="D565" s="271">
        <f>D566+D567</f>
        <v>2091.9</v>
      </c>
      <c r="E565" s="271"/>
      <c r="F565" s="271">
        <f>F566+F567</f>
        <v>2091.9</v>
      </c>
      <c r="G565" s="271">
        <f>G566+G567</f>
        <v>2115.9</v>
      </c>
      <c r="H565" s="345"/>
      <c r="I565" s="271">
        <f>I566+I567</f>
        <v>2115.9</v>
      </c>
      <c r="J565" s="271">
        <f>J566+J567</f>
        <v>2170.3000000000002</v>
      </c>
      <c r="K565" s="271"/>
      <c r="L565" s="271">
        <f>L566+L567</f>
        <v>2170.3000000000002</v>
      </c>
    </row>
    <row r="566" spans="1:12" s="1" customFormat="1" ht="66.599999999999994" x14ac:dyDescent="0.3">
      <c r="A566" s="7"/>
      <c r="B566" s="7" t="s">
        <v>2</v>
      </c>
      <c r="C566" s="6" t="s">
        <v>1</v>
      </c>
      <c r="D566" s="271">
        <f>1960.1+77.4</f>
        <v>2037.5</v>
      </c>
      <c r="E566" s="271"/>
      <c r="F566" s="271">
        <f>1960.1+77.4</f>
        <v>2037.5</v>
      </c>
      <c r="G566" s="271">
        <f>2028.2+87.7</f>
        <v>2115.9</v>
      </c>
      <c r="H566" s="345"/>
      <c r="I566" s="271">
        <f>2028.2+87.7</f>
        <v>2115.9</v>
      </c>
      <c r="J566" s="271">
        <f>2028.2+87.7</f>
        <v>2115.9</v>
      </c>
      <c r="K566" s="271"/>
      <c r="L566" s="271">
        <f>2028.2+87.7</f>
        <v>2115.9</v>
      </c>
    </row>
    <row r="567" spans="1:12" s="1" customFormat="1" ht="27" x14ac:dyDescent="0.3">
      <c r="A567" s="7"/>
      <c r="B567" s="7" t="s">
        <v>12</v>
      </c>
      <c r="C567" s="6" t="s">
        <v>11</v>
      </c>
      <c r="D567" s="271">
        <v>54.4</v>
      </c>
      <c r="E567" s="271"/>
      <c r="F567" s="271">
        <v>54.4</v>
      </c>
      <c r="G567" s="271">
        <v>0</v>
      </c>
      <c r="H567" s="345"/>
      <c r="I567" s="271">
        <v>0</v>
      </c>
      <c r="J567" s="271">
        <v>54.4</v>
      </c>
      <c r="K567" s="271"/>
      <c r="L567" s="271">
        <v>54.4</v>
      </c>
    </row>
    <row r="568" spans="1:12" s="1" customFormat="1" ht="66.599999999999994" x14ac:dyDescent="0.3">
      <c r="A568" s="7" t="s">
        <v>751</v>
      </c>
      <c r="B568" s="7"/>
      <c r="C568" s="6" t="s">
        <v>752</v>
      </c>
      <c r="D568" s="271">
        <f>D569</f>
        <v>87.3</v>
      </c>
      <c r="E568" s="271"/>
      <c r="F568" s="271">
        <f>F569</f>
        <v>87.3</v>
      </c>
      <c r="G568" s="271">
        <v>0</v>
      </c>
      <c r="H568" s="345"/>
      <c r="I568" s="271">
        <v>0</v>
      </c>
      <c r="J568" s="271">
        <v>0</v>
      </c>
      <c r="K568" s="271"/>
      <c r="L568" s="271">
        <v>0</v>
      </c>
    </row>
    <row r="569" spans="1:12" s="1" customFormat="1" ht="27" x14ac:dyDescent="0.3">
      <c r="A569" s="7"/>
      <c r="B569" s="7" t="s">
        <v>12</v>
      </c>
      <c r="C569" s="6" t="s">
        <v>11</v>
      </c>
      <c r="D569" s="271">
        <v>87.3</v>
      </c>
      <c r="E569" s="271"/>
      <c r="F569" s="271">
        <v>87.3</v>
      </c>
      <c r="G569" s="271">
        <v>0</v>
      </c>
      <c r="H569" s="345"/>
      <c r="I569" s="271">
        <v>0</v>
      </c>
      <c r="J569" s="271">
        <v>0</v>
      </c>
      <c r="K569" s="271"/>
      <c r="L569" s="271">
        <v>0</v>
      </c>
    </row>
    <row r="570" spans="1:12" s="1" customFormat="1" ht="53.4" x14ac:dyDescent="0.3">
      <c r="A570" s="15" t="s">
        <v>16</v>
      </c>
      <c r="B570" s="15"/>
      <c r="C570" s="14" t="s">
        <v>15</v>
      </c>
      <c r="D570" s="280">
        <f t="shared" ref="D570:J570" si="74">D571+D575+D586+D590+D593+D599+D601+D603+D605+D595+D597+D578+D580+D582+D584+D607+D609+D611+D613+D615</f>
        <v>76143.284200000009</v>
      </c>
      <c r="E570" s="280">
        <f t="shared" si="74"/>
        <v>3078</v>
      </c>
      <c r="F570" s="280">
        <f t="shared" si="74"/>
        <v>79221.284199999995</v>
      </c>
      <c r="G570" s="280">
        <f t="shared" si="74"/>
        <v>68871.963700000008</v>
      </c>
      <c r="H570" s="280">
        <f t="shared" si="74"/>
        <v>445.6</v>
      </c>
      <c r="I570" s="280">
        <f t="shared" si="74"/>
        <v>69317.563699999999</v>
      </c>
      <c r="J570" s="280">
        <f t="shared" si="74"/>
        <v>68633.435600000012</v>
      </c>
      <c r="K570" s="280"/>
      <c r="L570" s="280">
        <f>L571+L575+L586+L590+L593+L599+L601+L603+L605+L595+L597+L578+L580+L582+L584+L607+L609+L611+L613+L615</f>
        <v>68633.435600000012</v>
      </c>
    </row>
    <row r="571" spans="1:12" s="1" customFormat="1" ht="27" x14ac:dyDescent="0.3">
      <c r="A571" s="7" t="s">
        <v>390</v>
      </c>
      <c r="B571" s="7"/>
      <c r="C571" s="6" t="s">
        <v>389</v>
      </c>
      <c r="D571" s="272">
        <f>D572+D573+D574</f>
        <v>3297.7</v>
      </c>
      <c r="E571" s="272"/>
      <c r="F571" s="272">
        <f>F572+F573+F574</f>
        <v>3297.7</v>
      </c>
      <c r="G571" s="272">
        <f>G572+G573+G574</f>
        <v>3364.2</v>
      </c>
      <c r="H571" s="351"/>
      <c r="I571" s="272">
        <f>I572+I573+I574</f>
        <v>3364.2</v>
      </c>
      <c r="J571" s="272">
        <f>J572+J573+J574</f>
        <v>3364.2</v>
      </c>
      <c r="K571" s="272"/>
      <c r="L571" s="272">
        <f>L572+L573+L574</f>
        <v>3364.2</v>
      </c>
    </row>
    <row r="572" spans="1:12" s="1" customFormat="1" ht="66.599999999999994" x14ac:dyDescent="0.3">
      <c r="A572" s="61"/>
      <c r="B572" s="7" t="s">
        <v>2</v>
      </c>
      <c r="C572" s="6" t="s">
        <v>1</v>
      </c>
      <c r="D572" s="271">
        <v>3141.1</v>
      </c>
      <c r="E572" s="271"/>
      <c r="F572" s="271">
        <v>3141.1</v>
      </c>
      <c r="G572" s="271">
        <v>3262.2</v>
      </c>
      <c r="H572" s="345"/>
      <c r="I572" s="271">
        <v>3262.2</v>
      </c>
      <c r="J572" s="271">
        <v>3262.2</v>
      </c>
      <c r="K572" s="271"/>
      <c r="L572" s="271">
        <v>3262.2</v>
      </c>
    </row>
    <row r="573" spans="1:12" s="1" customFormat="1" ht="27" x14ac:dyDescent="0.3">
      <c r="A573" s="61"/>
      <c r="B573" s="7" t="s">
        <v>12</v>
      </c>
      <c r="C573" s="6" t="s">
        <v>11</v>
      </c>
      <c r="D573" s="271">
        <v>154.4</v>
      </c>
      <c r="E573" s="271"/>
      <c r="F573" s="271">
        <f>99.8+54.6</f>
        <v>154.4</v>
      </c>
      <c r="G573" s="271">
        <v>99.8</v>
      </c>
      <c r="H573" s="345"/>
      <c r="I573" s="271">
        <v>99.8</v>
      </c>
      <c r="J573" s="271">
        <v>99.8</v>
      </c>
      <c r="K573" s="271"/>
      <c r="L573" s="271">
        <v>99.8</v>
      </c>
    </row>
    <row r="574" spans="1:12" s="1" customFormat="1" ht="14.4" x14ac:dyDescent="0.3">
      <c r="A574" s="61"/>
      <c r="B574" s="55" t="s">
        <v>22</v>
      </c>
      <c r="C574" s="103" t="s">
        <v>21</v>
      </c>
      <c r="D574" s="271">
        <v>2.2000000000000002</v>
      </c>
      <c r="E574" s="271"/>
      <c r="F574" s="271">
        <v>2.2000000000000002</v>
      </c>
      <c r="G574" s="271">
        <v>2.2000000000000002</v>
      </c>
      <c r="H574" s="345"/>
      <c r="I574" s="271">
        <v>2.2000000000000002</v>
      </c>
      <c r="J574" s="271">
        <v>2.2000000000000002</v>
      </c>
      <c r="K574" s="271"/>
      <c r="L574" s="271">
        <v>2.2000000000000002</v>
      </c>
    </row>
    <row r="575" spans="1:12" s="1" customFormat="1" ht="27" x14ac:dyDescent="0.3">
      <c r="A575" s="7" t="s">
        <v>14</v>
      </c>
      <c r="B575" s="7"/>
      <c r="C575" s="12" t="s">
        <v>13</v>
      </c>
      <c r="D575" s="271">
        <f>D576+D577</f>
        <v>18660</v>
      </c>
      <c r="E575" s="271"/>
      <c r="F575" s="271">
        <f>F576+F577</f>
        <v>18660</v>
      </c>
      <c r="G575" s="271">
        <f>G576+G577</f>
        <v>19328.3</v>
      </c>
      <c r="H575" s="345"/>
      <c r="I575" s="271">
        <f>I576+I577</f>
        <v>19328.3</v>
      </c>
      <c r="J575" s="271">
        <f>J576+J577</f>
        <v>19328.3</v>
      </c>
      <c r="K575" s="271"/>
      <c r="L575" s="271">
        <f>L576+L577</f>
        <v>19328.3</v>
      </c>
    </row>
    <row r="576" spans="1:12" s="1" customFormat="1" ht="66.599999999999994" x14ac:dyDescent="0.3">
      <c r="A576" s="7"/>
      <c r="B576" s="7" t="s">
        <v>2</v>
      </c>
      <c r="C576" s="6" t="s">
        <v>1</v>
      </c>
      <c r="D576" s="271">
        <f>17747.5-611.7+626.7</f>
        <v>17762.5</v>
      </c>
      <c r="E576" s="271"/>
      <c r="F576" s="271">
        <f>17747.5-611.7+626.7</f>
        <v>17762.5</v>
      </c>
      <c r="G576" s="271">
        <v>18430.8</v>
      </c>
      <c r="H576" s="345"/>
      <c r="I576" s="271">
        <v>18430.8</v>
      </c>
      <c r="J576" s="271">
        <v>18430.8</v>
      </c>
      <c r="K576" s="271"/>
      <c r="L576" s="271">
        <v>18430.8</v>
      </c>
    </row>
    <row r="577" spans="1:12" s="1" customFormat="1" ht="27" x14ac:dyDescent="0.3">
      <c r="A577" s="7"/>
      <c r="B577" s="7" t="s">
        <v>12</v>
      </c>
      <c r="C577" s="6" t="s">
        <v>11</v>
      </c>
      <c r="D577" s="271">
        <v>897.5</v>
      </c>
      <c r="E577" s="271"/>
      <c r="F577" s="271">
        <v>897.5</v>
      </c>
      <c r="G577" s="271">
        <v>897.5</v>
      </c>
      <c r="H577" s="345"/>
      <c r="I577" s="271">
        <v>897.5</v>
      </c>
      <c r="J577" s="271">
        <v>897.5</v>
      </c>
      <c r="K577" s="271"/>
      <c r="L577" s="271">
        <v>897.5</v>
      </c>
    </row>
    <row r="578" spans="1:12" s="1" customFormat="1" ht="66.599999999999994" x14ac:dyDescent="0.3">
      <c r="A578" s="7" t="s">
        <v>10</v>
      </c>
      <c r="B578" s="7"/>
      <c r="C578" s="6" t="s">
        <v>9</v>
      </c>
      <c r="D578" s="272">
        <f>D579</f>
        <v>137.19999999999999</v>
      </c>
      <c r="E578" s="272"/>
      <c r="F578" s="272">
        <f>F579</f>
        <v>137.19999999999999</v>
      </c>
      <c r="G578" s="272">
        <f>G579</f>
        <v>107.2</v>
      </c>
      <c r="H578" s="351"/>
      <c r="I578" s="272">
        <f>I579</f>
        <v>107.2</v>
      </c>
      <c r="J578" s="272">
        <f>J579</f>
        <v>105.4</v>
      </c>
      <c r="K578" s="272"/>
      <c r="L578" s="272">
        <f>L579</f>
        <v>105.4</v>
      </c>
    </row>
    <row r="579" spans="1:12" s="1" customFormat="1" ht="66.599999999999994" x14ac:dyDescent="0.3">
      <c r="A579" s="7"/>
      <c r="B579" s="7" t="s">
        <v>2</v>
      </c>
      <c r="C579" s="6" t="s">
        <v>1</v>
      </c>
      <c r="D579" s="279">
        <v>137.19999999999999</v>
      </c>
      <c r="E579" s="279"/>
      <c r="F579" s="279">
        <v>137.19999999999999</v>
      </c>
      <c r="G579" s="279">
        <v>107.2</v>
      </c>
      <c r="H579" s="357"/>
      <c r="I579" s="279">
        <v>107.2</v>
      </c>
      <c r="J579" s="279">
        <v>105.4</v>
      </c>
      <c r="K579" s="279"/>
      <c r="L579" s="279">
        <v>105.4</v>
      </c>
    </row>
    <row r="580" spans="1:12" s="1" customFormat="1" ht="40.200000000000003" x14ac:dyDescent="0.3">
      <c r="A580" s="7" t="s">
        <v>8</v>
      </c>
      <c r="B580" s="7"/>
      <c r="C580" s="6" t="s">
        <v>7</v>
      </c>
      <c r="D580" s="271">
        <f>D581</f>
        <v>87.119200000000006</v>
      </c>
      <c r="E580" s="271"/>
      <c r="F580" s="271">
        <f>F581</f>
        <v>87.119200000000006</v>
      </c>
      <c r="G580" s="271">
        <f>G581</f>
        <v>92.5261</v>
      </c>
      <c r="H580" s="345"/>
      <c r="I580" s="271">
        <f>I581</f>
        <v>92.5261</v>
      </c>
      <c r="J580" s="271">
        <f>J581</f>
        <v>93.701599999999999</v>
      </c>
      <c r="K580" s="271"/>
      <c r="L580" s="271">
        <f>L581</f>
        <v>93.701599999999999</v>
      </c>
    </row>
    <row r="581" spans="1:12" s="1" customFormat="1" ht="66.599999999999994" x14ac:dyDescent="0.3">
      <c r="A581" s="7"/>
      <c r="B581" s="7" t="s">
        <v>2</v>
      </c>
      <c r="C581" s="6" t="s">
        <v>1</v>
      </c>
      <c r="D581" s="271">
        <v>87.119200000000006</v>
      </c>
      <c r="E581" s="271"/>
      <c r="F581" s="271">
        <v>87.119200000000006</v>
      </c>
      <c r="G581" s="271">
        <v>92.5261</v>
      </c>
      <c r="H581" s="345"/>
      <c r="I581" s="271">
        <v>92.5261</v>
      </c>
      <c r="J581" s="271">
        <v>93.701599999999999</v>
      </c>
      <c r="K581" s="271"/>
      <c r="L581" s="271">
        <v>93.701599999999999</v>
      </c>
    </row>
    <row r="582" spans="1:12" s="1" customFormat="1" ht="66.599999999999994" x14ac:dyDescent="0.3">
      <c r="A582" s="7" t="s">
        <v>6</v>
      </c>
      <c r="B582" s="7"/>
      <c r="C582" s="6" t="s">
        <v>5</v>
      </c>
      <c r="D582" s="271">
        <f>D583</f>
        <v>7016.6360000000004</v>
      </c>
      <c r="E582" s="271"/>
      <c r="F582" s="271">
        <f>F583</f>
        <v>7016.6360000000004</v>
      </c>
      <c r="G582" s="271">
        <f>G583</f>
        <v>6836.3086000000003</v>
      </c>
      <c r="H582" s="345"/>
      <c r="I582" s="271">
        <f>I583</f>
        <v>6836.3086000000003</v>
      </c>
      <c r="J582" s="271">
        <f>J583</f>
        <v>6598.4049999999997</v>
      </c>
      <c r="K582" s="271"/>
      <c r="L582" s="271">
        <f>L583</f>
        <v>6598.4049999999997</v>
      </c>
    </row>
    <row r="583" spans="1:12" s="1" customFormat="1" ht="66.599999999999994" x14ac:dyDescent="0.3">
      <c r="A583" s="7"/>
      <c r="B583" s="7" t="s">
        <v>2</v>
      </c>
      <c r="C583" s="6" t="s">
        <v>1</v>
      </c>
      <c r="D583" s="271">
        <f>2102.2606+4914.3754</f>
        <v>7016.6360000000004</v>
      </c>
      <c r="E583" s="271"/>
      <c r="F583" s="271">
        <f>2102.2606+4914.3754</f>
        <v>7016.6360000000004</v>
      </c>
      <c r="G583" s="271">
        <f>2010.206+4826.1026</f>
        <v>6836.3086000000003</v>
      </c>
      <c r="H583" s="345"/>
      <c r="I583" s="271">
        <f>2010.206+4826.1026</f>
        <v>6836.3086000000003</v>
      </c>
      <c r="J583" s="271">
        <f>1965.8034+4632.6016</f>
        <v>6598.4049999999997</v>
      </c>
      <c r="K583" s="271"/>
      <c r="L583" s="271">
        <f>1965.8034+4632.6016</f>
        <v>6598.4049999999997</v>
      </c>
    </row>
    <row r="584" spans="1:12" s="1" customFormat="1" ht="93" x14ac:dyDescent="0.3">
      <c r="A584" s="7" t="s">
        <v>4</v>
      </c>
      <c r="B584" s="7"/>
      <c r="C584" s="6" t="s">
        <v>3</v>
      </c>
      <c r="D584" s="272">
        <f>D585</f>
        <v>227.82900000000001</v>
      </c>
      <c r="E584" s="272"/>
      <c r="F584" s="272">
        <f>F585</f>
        <v>227.82900000000001</v>
      </c>
      <c r="G584" s="272">
        <f>G585</f>
        <v>227.82900000000001</v>
      </c>
      <c r="H584" s="351"/>
      <c r="I584" s="272">
        <f>I585</f>
        <v>227.82900000000001</v>
      </c>
      <c r="J584" s="272">
        <f>J585</f>
        <v>227.82900000000001</v>
      </c>
      <c r="K584" s="272"/>
      <c r="L584" s="272">
        <f>L585</f>
        <v>227.82900000000001</v>
      </c>
    </row>
    <row r="585" spans="1:12" s="1" customFormat="1" ht="66.599999999999994" x14ac:dyDescent="0.3">
      <c r="A585" s="7"/>
      <c r="B585" s="7" t="s">
        <v>2</v>
      </c>
      <c r="C585" s="6" t="s">
        <v>1</v>
      </c>
      <c r="D585" s="272">
        <v>227.82900000000001</v>
      </c>
      <c r="E585" s="272"/>
      <c r="F585" s="272">
        <v>227.82900000000001</v>
      </c>
      <c r="G585" s="272">
        <v>227.82900000000001</v>
      </c>
      <c r="H585" s="351"/>
      <c r="I585" s="272">
        <v>227.82900000000001</v>
      </c>
      <c r="J585" s="272">
        <v>227.82900000000001</v>
      </c>
      <c r="K585" s="272"/>
      <c r="L585" s="272">
        <v>227.82900000000001</v>
      </c>
    </row>
    <row r="586" spans="1:12" s="1" customFormat="1" ht="27" x14ac:dyDescent="0.3">
      <c r="A586" s="7" t="s">
        <v>537</v>
      </c>
      <c r="B586" s="7"/>
      <c r="C586" s="6" t="s">
        <v>848</v>
      </c>
      <c r="D586" s="272">
        <f t="shared" ref="D586:J586" si="75">D587+D588+D589</f>
        <v>39270.800000000003</v>
      </c>
      <c r="E586" s="272">
        <f t="shared" si="75"/>
        <v>37.699999999999989</v>
      </c>
      <c r="F586" s="272">
        <f t="shared" si="75"/>
        <v>39308.5</v>
      </c>
      <c r="G586" s="272">
        <f t="shared" si="75"/>
        <v>36891.200000000004</v>
      </c>
      <c r="H586" s="272">
        <f t="shared" si="75"/>
        <v>445.6</v>
      </c>
      <c r="I586" s="272">
        <f t="shared" si="75"/>
        <v>37336.800000000003</v>
      </c>
      <c r="J586" s="272">
        <f t="shared" si="75"/>
        <v>36891.200000000004</v>
      </c>
      <c r="K586" s="272"/>
      <c r="L586" s="272">
        <f>L587+L588+L589</f>
        <v>36891.200000000004</v>
      </c>
    </row>
    <row r="587" spans="1:12" s="1" customFormat="1" ht="66.599999999999994" x14ac:dyDescent="0.3">
      <c r="A587" s="7"/>
      <c r="B587" s="7" t="s">
        <v>2</v>
      </c>
      <c r="C587" s="6" t="s">
        <v>1</v>
      </c>
      <c r="D587" s="271">
        <f>18278.1+96.4</f>
        <v>18374.5</v>
      </c>
      <c r="E587" s="271">
        <v>-118.4</v>
      </c>
      <c r="F587" s="271">
        <f>18278.1+96.4-118.4</f>
        <v>18256.099999999999</v>
      </c>
      <c r="G587" s="271">
        <f>18983.7+100.2</f>
        <v>19083.900000000001</v>
      </c>
      <c r="H587" s="345"/>
      <c r="I587" s="271">
        <f>18983.7+100.2</f>
        <v>19083.900000000001</v>
      </c>
      <c r="J587" s="271">
        <f>18983.7+100.2</f>
        <v>19083.900000000001</v>
      </c>
      <c r="K587" s="271"/>
      <c r="L587" s="271">
        <f>18983.7+100.2</f>
        <v>19083.900000000001</v>
      </c>
    </row>
    <row r="588" spans="1:12" s="1" customFormat="1" ht="27" x14ac:dyDescent="0.3">
      <c r="A588" s="7"/>
      <c r="B588" s="7" t="s">
        <v>12</v>
      </c>
      <c r="C588" s="6" t="s">
        <v>11</v>
      </c>
      <c r="D588" s="271">
        <v>20468</v>
      </c>
      <c r="E588" s="271">
        <v>156.1</v>
      </c>
      <c r="F588" s="271">
        <f>17379+3089+156.1</f>
        <v>20624.099999999999</v>
      </c>
      <c r="G588" s="271">
        <v>17379</v>
      </c>
      <c r="H588" s="345">
        <v>445.6</v>
      </c>
      <c r="I588" s="271">
        <f>17379+445.6</f>
        <v>17824.599999999999</v>
      </c>
      <c r="J588" s="271">
        <v>17379</v>
      </c>
      <c r="K588" s="271"/>
      <c r="L588" s="271">
        <v>17379</v>
      </c>
    </row>
    <row r="589" spans="1:12" s="1" customFormat="1" ht="14.4" x14ac:dyDescent="0.3">
      <c r="A589" s="7"/>
      <c r="B589" s="7" t="s">
        <v>22</v>
      </c>
      <c r="C589" s="6" t="s">
        <v>21</v>
      </c>
      <c r="D589" s="271">
        <v>428.3</v>
      </c>
      <c r="E589" s="271"/>
      <c r="F589" s="271">
        <v>428.3</v>
      </c>
      <c r="G589" s="271">
        <v>428.3</v>
      </c>
      <c r="H589" s="345"/>
      <c r="I589" s="271">
        <v>428.3</v>
      </c>
      <c r="J589" s="271">
        <v>428.3</v>
      </c>
      <c r="K589" s="271"/>
      <c r="L589" s="271">
        <v>428.3</v>
      </c>
    </row>
    <row r="590" spans="1:12" s="1" customFormat="1" ht="14.4" x14ac:dyDescent="0.3">
      <c r="A590" s="55" t="s">
        <v>535</v>
      </c>
      <c r="B590" s="55"/>
      <c r="C590" s="6" t="s">
        <v>534</v>
      </c>
      <c r="D590" s="271">
        <f>D591+D592</f>
        <v>926.6</v>
      </c>
      <c r="E590" s="271">
        <f>E591+E592</f>
        <v>705.4</v>
      </c>
      <c r="F590" s="271">
        <f>F591+F592</f>
        <v>1632</v>
      </c>
      <c r="G590" s="271">
        <v>0</v>
      </c>
      <c r="H590" s="345"/>
      <c r="I590" s="271">
        <v>0</v>
      </c>
      <c r="J590" s="271">
        <v>0</v>
      </c>
      <c r="K590" s="271"/>
      <c r="L590" s="271">
        <v>0</v>
      </c>
    </row>
    <row r="591" spans="1:12" s="1" customFormat="1" ht="27" x14ac:dyDescent="0.3">
      <c r="A591" s="55"/>
      <c r="B591" s="55" t="s">
        <v>12</v>
      </c>
      <c r="C591" s="6" t="s">
        <v>11</v>
      </c>
      <c r="D591" s="271">
        <v>926.6</v>
      </c>
      <c r="E591" s="271">
        <v>118.4</v>
      </c>
      <c r="F591" s="271">
        <f>926.6+118.4</f>
        <v>1045</v>
      </c>
      <c r="G591" s="271">
        <v>0</v>
      </c>
      <c r="H591" s="345"/>
      <c r="I591" s="271">
        <v>0</v>
      </c>
      <c r="J591" s="271">
        <v>0</v>
      </c>
      <c r="K591" s="271"/>
      <c r="L591" s="271">
        <v>0</v>
      </c>
    </row>
    <row r="592" spans="1:12" s="1" customFormat="1" ht="27" x14ac:dyDescent="0.3">
      <c r="A592" s="366"/>
      <c r="B592" s="366" t="s">
        <v>57</v>
      </c>
      <c r="C592" s="6" t="s">
        <v>56</v>
      </c>
      <c r="D592" s="364">
        <v>0</v>
      </c>
      <c r="E592" s="364">
        <f>350.3+236.7</f>
        <v>587</v>
      </c>
      <c r="F592" s="364">
        <f>0+587</f>
        <v>587</v>
      </c>
      <c r="G592" s="364">
        <v>0</v>
      </c>
      <c r="H592" s="364"/>
      <c r="I592" s="364">
        <v>0</v>
      </c>
      <c r="J592" s="364">
        <v>0</v>
      </c>
      <c r="K592" s="364"/>
      <c r="L592" s="364">
        <v>0</v>
      </c>
    </row>
    <row r="593" spans="1:12" s="1" customFormat="1" ht="27" x14ac:dyDescent="0.3">
      <c r="A593" s="294" t="s">
        <v>846</v>
      </c>
      <c r="B593" s="294"/>
      <c r="C593" s="295" t="s">
        <v>847</v>
      </c>
      <c r="D593" s="293">
        <f>D594</f>
        <v>224.5</v>
      </c>
      <c r="E593" s="293"/>
      <c r="F593" s="293">
        <f>F594</f>
        <v>224.5</v>
      </c>
      <c r="G593" s="293">
        <f>G594</f>
        <v>0</v>
      </c>
      <c r="H593" s="345"/>
      <c r="I593" s="293">
        <f>I594</f>
        <v>0</v>
      </c>
      <c r="J593" s="293">
        <f>J594</f>
        <v>0</v>
      </c>
      <c r="K593" s="293"/>
      <c r="L593" s="293">
        <f>L594</f>
        <v>0</v>
      </c>
    </row>
    <row r="594" spans="1:12" s="1" customFormat="1" ht="14.4" x14ac:dyDescent="0.3">
      <c r="A594" s="296"/>
      <c r="B594" s="294" t="s">
        <v>22</v>
      </c>
      <c r="C594" s="295" t="s">
        <v>21</v>
      </c>
      <c r="D594" s="293">
        <v>224.5</v>
      </c>
      <c r="E594" s="293"/>
      <c r="F594" s="293">
        <f>25+163.1+36.4</f>
        <v>224.5</v>
      </c>
      <c r="G594" s="293">
        <v>0</v>
      </c>
      <c r="H594" s="345"/>
      <c r="I594" s="293">
        <v>0</v>
      </c>
      <c r="J594" s="293">
        <v>0</v>
      </c>
      <c r="K594" s="293"/>
      <c r="L594" s="293">
        <v>0</v>
      </c>
    </row>
    <row r="595" spans="1:12" s="1" customFormat="1" ht="40.200000000000003" x14ac:dyDescent="0.3">
      <c r="A595" s="7" t="s">
        <v>810</v>
      </c>
      <c r="B595" s="7"/>
      <c r="C595" s="6" t="s">
        <v>843</v>
      </c>
      <c r="D595" s="271">
        <f>D596</f>
        <v>556.4</v>
      </c>
      <c r="E595" s="271"/>
      <c r="F595" s="271">
        <f>F596</f>
        <v>556.4</v>
      </c>
      <c r="G595" s="271">
        <f>G596</f>
        <v>556.4</v>
      </c>
      <c r="H595" s="345"/>
      <c r="I595" s="271">
        <f>I596</f>
        <v>556.4</v>
      </c>
      <c r="J595" s="271">
        <f>J596</f>
        <v>556.4</v>
      </c>
      <c r="K595" s="271"/>
      <c r="L595" s="271">
        <f>L596</f>
        <v>556.4</v>
      </c>
    </row>
    <row r="596" spans="1:12" s="1" customFormat="1" ht="27" x14ac:dyDescent="0.3">
      <c r="A596" s="7"/>
      <c r="B596" s="7" t="s">
        <v>57</v>
      </c>
      <c r="C596" s="6" t="s">
        <v>56</v>
      </c>
      <c r="D596" s="271">
        <v>556.4</v>
      </c>
      <c r="E596" s="271"/>
      <c r="F596" s="271">
        <v>556.4</v>
      </c>
      <c r="G596" s="271">
        <v>556.4</v>
      </c>
      <c r="H596" s="345"/>
      <c r="I596" s="271">
        <v>556.4</v>
      </c>
      <c r="J596" s="271">
        <v>556.4</v>
      </c>
      <c r="K596" s="271"/>
      <c r="L596" s="271">
        <v>556.4</v>
      </c>
    </row>
    <row r="597" spans="1:12" s="1" customFormat="1" ht="53.4" x14ac:dyDescent="0.3">
      <c r="A597" s="7" t="s">
        <v>564</v>
      </c>
      <c r="B597" s="7"/>
      <c r="C597" s="6" t="s">
        <v>563</v>
      </c>
      <c r="D597" s="271">
        <f>D598</f>
        <v>6.2</v>
      </c>
      <c r="E597" s="271"/>
      <c r="F597" s="271">
        <f>F598</f>
        <v>6.2</v>
      </c>
      <c r="G597" s="271">
        <f>G598</f>
        <v>6.4</v>
      </c>
      <c r="H597" s="345"/>
      <c r="I597" s="271">
        <f>I598</f>
        <v>6.4</v>
      </c>
      <c r="J597" s="271">
        <f>J598</f>
        <v>6.4</v>
      </c>
      <c r="K597" s="271"/>
      <c r="L597" s="271">
        <f>L598</f>
        <v>6.4</v>
      </c>
    </row>
    <row r="598" spans="1:12" s="1" customFormat="1" ht="27" x14ac:dyDescent="0.3">
      <c r="A598" s="7"/>
      <c r="B598" s="7" t="s">
        <v>12</v>
      </c>
      <c r="C598" s="6" t="s">
        <v>11</v>
      </c>
      <c r="D598" s="271">
        <v>6.2</v>
      </c>
      <c r="E598" s="271"/>
      <c r="F598" s="271">
        <v>6.2</v>
      </c>
      <c r="G598" s="271">
        <v>6.4</v>
      </c>
      <c r="H598" s="345"/>
      <c r="I598" s="271">
        <v>6.4</v>
      </c>
      <c r="J598" s="271">
        <v>6.4</v>
      </c>
      <c r="K598" s="271"/>
      <c r="L598" s="271">
        <v>6.4</v>
      </c>
    </row>
    <row r="599" spans="1:12" s="1" customFormat="1" ht="27" x14ac:dyDescent="0.3">
      <c r="A599" s="7" t="s">
        <v>24</v>
      </c>
      <c r="B599" s="7"/>
      <c r="C599" s="6" t="s">
        <v>23</v>
      </c>
      <c r="D599" s="271">
        <f>D600</f>
        <v>711.6</v>
      </c>
      <c r="E599" s="271"/>
      <c r="F599" s="271">
        <f>F600</f>
        <v>711.6</v>
      </c>
      <c r="G599" s="271">
        <f>G600</f>
        <v>711.6</v>
      </c>
      <c r="H599" s="345"/>
      <c r="I599" s="271">
        <f>I600</f>
        <v>711.6</v>
      </c>
      <c r="J599" s="271">
        <f>J600</f>
        <v>711.6</v>
      </c>
      <c r="K599" s="271"/>
      <c r="L599" s="271">
        <f>L600</f>
        <v>711.6</v>
      </c>
    </row>
    <row r="600" spans="1:12" s="1" customFormat="1" ht="14.4" x14ac:dyDescent="0.3">
      <c r="A600" s="7"/>
      <c r="B600" s="7" t="s">
        <v>22</v>
      </c>
      <c r="C600" s="6" t="s">
        <v>21</v>
      </c>
      <c r="D600" s="271">
        <v>711.6</v>
      </c>
      <c r="E600" s="271"/>
      <c r="F600" s="271">
        <v>711.6</v>
      </c>
      <c r="G600" s="271">
        <v>711.6</v>
      </c>
      <c r="H600" s="345"/>
      <c r="I600" s="271">
        <v>711.6</v>
      </c>
      <c r="J600" s="271">
        <v>711.6</v>
      </c>
      <c r="K600" s="271"/>
      <c r="L600" s="271">
        <v>711.6</v>
      </c>
    </row>
    <row r="601" spans="1:12" s="1" customFormat="1" ht="40.200000000000003" x14ac:dyDescent="0.3">
      <c r="A601" s="7" t="s">
        <v>43</v>
      </c>
      <c r="B601" s="7"/>
      <c r="C601" s="6" t="s">
        <v>42</v>
      </c>
      <c r="D601" s="271">
        <f>D602</f>
        <v>450</v>
      </c>
      <c r="E601" s="271"/>
      <c r="F601" s="271">
        <f>F602</f>
        <v>450</v>
      </c>
      <c r="G601" s="271">
        <f>G602</f>
        <v>450</v>
      </c>
      <c r="H601" s="345"/>
      <c r="I601" s="271">
        <f>I602</f>
        <v>450</v>
      </c>
      <c r="J601" s="271">
        <f>J602</f>
        <v>450</v>
      </c>
      <c r="K601" s="271"/>
      <c r="L601" s="271">
        <f>L602</f>
        <v>450</v>
      </c>
    </row>
    <row r="602" spans="1:12" s="1" customFormat="1" ht="27" x14ac:dyDescent="0.3">
      <c r="A602" s="7"/>
      <c r="B602" s="7" t="s">
        <v>12</v>
      </c>
      <c r="C602" s="6" t="s">
        <v>11</v>
      </c>
      <c r="D602" s="271">
        <v>450</v>
      </c>
      <c r="E602" s="271"/>
      <c r="F602" s="271">
        <v>450</v>
      </c>
      <c r="G602" s="271">
        <v>450</v>
      </c>
      <c r="H602" s="345"/>
      <c r="I602" s="271">
        <v>450</v>
      </c>
      <c r="J602" s="271">
        <v>450</v>
      </c>
      <c r="K602" s="271"/>
      <c r="L602" s="271">
        <v>450</v>
      </c>
    </row>
    <row r="603" spans="1:12" s="1" customFormat="1" ht="27" x14ac:dyDescent="0.3">
      <c r="A603" s="7" t="s">
        <v>533</v>
      </c>
      <c r="B603" s="7"/>
      <c r="C603" s="6" t="s">
        <v>532</v>
      </c>
      <c r="D603" s="271">
        <f>D604</f>
        <v>310</v>
      </c>
      <c r="E603" s="271"/>
      <c r="F603" s="271">
        <f>F604</f>
        <v>310</v>
      </c>
      <c r="G603" s="271">
        <f>G604</f>
        <v>0</v>
      </c>
      <c r="H603" s="345"/>
      <c r="I603" s="271">
        <f>I604</f>
        <v>0</v>
      </c>
      <c r="J603" s="271">
        <f>J604</f>
        <v>0</v>
      </c>
      <c r="K603" s="271"/>
      <c r="L603" s="271">
        <f>L604</f>
        <v>0</v>
      </c>
    </row>
    <row r="604" spans="1:12" s="1" customFormat="1" ht="14.4" x14ac:dyDescent="0.3">
      <c r="A604" s="7"/>
      <c r="B604" s="7" t="s">
        <v>22</v>
      </c>
      <c r="C604" s="6" t="s">
        <v>21</v>
      </c>
      <c r="D604" s="271">
        <v>310</v>
      </c>
      <c r="E604" s="271"/>
      <c r="F604" s="271">
        <v>310</v>
      </c>
      <c r="G604" s="271">
        <v>0</v>
      </c>
      <c r="H604" s="345"/>
      <c r="I604" s="271">
        <v>0</v>
      </c>
      <c r="J604" s="271">
        <v>0</v>
      </c>
      <c r="K604" s="271"/>
      <c r="L604" s="271">
        <v>0</v>
      </c>
    </row>
    <row r="605" spans="1:12" s="1" customFormat="1" ht="40.200000000000003" x14ac:dyDescent="0.3">
      <c r="A605" s="7" t="s">
        <v>632</v>
      </c>
      <c r="B605" s="7"/>
      <c r="C605" s="116" t="s">
        <v>538</v>
      </c>
      <c r="D605" s="271">
        <f>D606</f>
        <v>300</v>
      </c>
      <c r="E605" s="271"/>
      <c r="F605" s="271">
        <f>F606</f>
        <v>300</v>
      </c>
      <c r="G605" s="271">
        <f>G606</f>
        <v>300</v>
      </c>
      <c r="H605" s="345"/>
      <c r="I605" s="271">
        <f>I606</f>
        <v>300</v>
      </c>
      <c r="J605" s="271">
        <f>J606</f>
        <v>300</v>
      </c>
      <c r="K605" s="271"/>
      <c r="L605" s="271">
        <f>L606</f>
        <v>300</v>
      </c>
    </row>
    <row r="606" spans="1:12" s="1" customFormat="1" ht="27" x14ac:dyDescent="0.3">
      <c r="A606" s="7"/>
      <c r="B606" s="7" t="s">
        <v>57</v>
      </c>
      <c r="C606" s="6" t="s">
        <v>56</v>
      </c>
      <c r="D606" s="271">
        <v>300</v>
      </c>
      <c r="E606" s="271"/>
      <c r="F606" s="271">
        <v>300</v>
      </c>
      <c r="G606" s="271">
        <v>300</v>
      </c>
      <c r="H606" s="345"/>
      <c r="I606" s="271">
        <v>300</v>
      </c>
      <c r="J606" s="271">
        <v>300</v>
      </c>
      <c r="K606" s="271"/>
      <c r="L606" s="271">
        <v>300</v>
      </c>
    </row>
    <row r="607" spans="1:12" s="1" customFormat="1" ht="27" x14ac:dyDescent="0.3">
      <c r="A607" s="75" t="s">
        <v>818</v>
      </c>
      <c r="B607" s="55"/>
      <c r="C607" s="117" t="s">
        <v>819</v>
      </c>
      <c r="D607" s="271">
        <f>D608</f>
        <v>112.1</v>
      </c>
      <c r="E607" s="271"/>
      <c r="F607" s="271">
        <f>F608</f>
        <v>112.1</v>
      </c>
      <c r="G607" s="271">
        <v>0</v>
      </c>
      <c r="H607" s="345"/>
      <c r="I607" s="271">
        <v>0</v>
      </c>
      <c r="J607" s="271">
        <v>0</v>
      </c>
      <c r="K607" s="271"/>
      <c r="L607" s="271">
        <v>0</v>
      </c>
    </row>
    <row r="608" spans="1:12" s="1" customFormat="1" ht="27" x14ac:dyDescent="0.3">
      <c r="A608" s="23"/>
      <c r="B608" s="7" t="s">
        <v>57</v>
      </c>
      <c r="C608" s="6" t="s">
        <v>56</v>
      </c>
      <c r="D608" s="271">
        <v>112.1</v>
      </c>
      <c r="E608" s="271"/>
      <c r="F608" s="271">
        <v>112.1</v>
      </c>
      <c r="G608" s="271">
        <v>0</v>
      </c>
      <c r="H608" s="345"/>
      <c r="I608" s="271">
        <v>0</v>
      </c>
      <c r="J608" s="271">
        <v>0</v>
      </c>
      <c r="K608" s="271"/>
      <c r="L608" s="271">
        <v>0</v>
      </c>
    </row>
    <row r="609" spans="1:12" s="1" customFormat="1" ht="40.200000000000003" x14ac:dyDescent="0.3">
      <c r="A609" s="75" t="s">
        <v>827</v>
      </c>
      <c r="B609" s="7"/>
      <c r="C609" s="6" t="s">
        <v>828</v>
      </c>
      <c r="D609" s="271">
        <f>D610</f>
        <v>91.2</v>
      </c>
      <c r="E609" s="271"/>
      <c r="F609" s="271">
        <f>F610</f>
        <v>91.2</v>
      </c>
      <c r="G609" s="271">
        <v>0</v>
      </c>
      <c r="H609" s="345"/>
      <c r="I609" s="271">
        <v>0</v>
      </c>
      <c r="J609" s="271">
        <v>0</v>
      </c>
      <c r="K609" s="271"/>
      <c r="L609" s="271">
        <v>0</v>
      </c>
    </row>
    <row r="610" spans="1:12" s="1" customFormat="1" ht="27" x14ac:dyDescent="0.3">
      <c r="A610" s="23"/>
      <c r="B610" s="7" t="s">
        <v>12</v>
      </c>
      <c r="C610" s="6" t="s">
        <v>11</v>
      </c>
      <c r="D610" s="271">
        <v>91.2</v>
      </c>
      <c r="E610" s="271"/>
      <c r="F610" s="271">
        <v>91.2</v>
      </c>
      <c r="G610" s="271">
        <v>0</v>
      </c>
      <c r="H610" s="345"/>
      <c r="I610" s="271">
        <v>0</v>
      </c>
      <c r="J610" s="271">
        <v>0</v>
      </c>
      <c r="K610" s="271"/>
      <c r="L610" s="271">
        <v>0</v>
      </c>
    </row>
    <row r="611" spans="1:12" s="1" customFormat="1" ht="27" x14ac:dyDescent="0.3">
      <c r="A611" s="308" t="s">
        <v>850</v>
      </c>
      <c r="B611" s="296"/>
      <c r="C611" s="309" t="s">
        <v>851</v>
      </c>
      <c r="D611" s="271">
        <f>D612</f>
        <v>2733.8</v>
      </c>
      <c r="E611" s="271">
        <f>E612</f>
        <v>2064.9</v>
      </c>
      <c r="F611" s="271">
        <f>F612</f>
        <v>4798.7000000000007</v>
      </c>
      <c r="G611" s="271">
        <v>0</v>
      </c>
      <c r="H611" s="345"/>
      <c r="I611" s="271">
        <v>0</v>
      </c>
      <c r="J611" s="271">
        <v>0</v>
      </c>
      <c r="K611" s="271"/>
      <c r="L611" s="271">
        <v>0</v>
      </c>
    </row>
    <row r="612" spans="1:12" s="1" customFormat="1" ht="27" x14ac:dyDescent="0.3">
      <c r="A612" s="310"/>
      <c r="B612" s="294" t="s">
        <v>57</v>
      </c>
      <c r="C612" s="295" t="s">
        <v>56</v>
      </c>
      <c r="D612" s="271">
        <v>2733.8</v>
      </c>
      <c r="E612" s="271">
        <f>3384-1319.1</f>
        <v>2064.9</v>
      </c>
      <c r="F612" s="271">
        <f>2733.8+2064.9</f>
        <v>4798.7000000000007</v>
      </c>
      <c r="G612" s="271">
        <v>0</v>
      </c>
      <c r="H612" s="345"/>
      <c r="I612" s="271">
        <v>0</v>
      </c>
      <c r="J612" s="271">
        <v>0</v>
      </c>
      <c r="K612" s="271"/>
      <c r="L612" s="271">
        <v>0</v>
      </c>
    </row>
    <row r="613" spans="1:12" s="1" customFormat="1" ht="27" x14ac:dyDescent="0.3">
      <c r="A613" s="308" t="s">
        <v>857</v>
      </c>
      <c r="B613" s="324"/>
      <c r="C613" s="332" t="s">
        <v>854</v>
      </c>
      <c r="D613" s="271">
        <f>D614</f>
        <v>270</v>
      </c>
      <c r="E613" s="271">
        <f>E614</f>
        <v>270</v>
      </c>
      <c r="F613" s="271">
        <f>F614</f>
        <v>540</v>
      </c>
      <c r="G613" s="271">
        <v>0</v>
      </c>
      <c r="H613" s="345"/>
      <c r="I613" s="271">
        <v>0</v>
      </c>
      <c r="J613" s="271">
        <v>0</v>
      </c>
      <c r="K613" s="271"/>
      <c r="L613" s="271">
        <v>0</v>
      </c>
    </row>
    <row r="614" spans="1:12" s="1" customFormat="1" ht="27" x14ac:dyDescent="0.3">
      <c r="A614" s="325"/>
      <c r="B614" s="308" t="s">
        <v>57</v>
      </c>
      <c r="C614" s="326" t="s">
        <v>56</v>
      </c>
      <c r="D614" s="271">
        <v>270</v>
      </c>
      <c r="E614" s="271">
        <v>270</v>
      </c>
      <c r="F614" s="271">
        <f>270+270</f>
        <v>540</v>
      </c>
      <c r="G614" s="271">
        <v>0</v>
      </c>
      <c r="H614" s="345"/>
      <c r="I614" s="271">
        <v>0</v>
      </c>
      <c r="J614" s="271">
        <v>0</v>
      </c>
      <c r="K614" s="271"/>
      <c r="L614" s="271">
        <v>0</v>
      </c>
    </row>
    <row r="615" spans="1:12" s="1" customFormat="1" ht="53.4" x14ac:dyDescent="0.3">
      <c r="A615" s="308" t="s">
        <v>853</v>
      </c>
      <c r="B615" s="324"/>
      <c r="C615" s="332" t="s">
        <v>855</v>
      </c>
      <c r="D615" s="271">
        <f>D616</f>
        <v>753.6</v>
      </c>
      <c r="E615" s="271">
        <v>0</v>
      </c>
      <c r="F615" s="271">
        <f>F617</f>
        <v>753.6</v>
      </c>
      <c r="G615" s="271">
        <v>0</v>
      </c>
      <c r="H615" s="345"/>
      <c r="I615" s="271">
        <v>0</v>
      </c>
      <c r="J615" s="271">
        <v>0</v>
      </c>
      <c r="K615" s="271"/>
      <c r="L615" s="271">
        <v>0</v>
      </c>
    </row>
    <row r="616" spans="1:12" s="1" customFormat="1" ht="27" x14ac:dyDescent="0.3">
      <c r="A616" s="310"/>
      <c r="B616" s="294" t="s">
        <v>12</v>
      </c>
      <c r="C616" s="6" t="s">
        <v>11</v>
      </c>
      <c r="D616" s="271">
        <v>753.6</v>
      </c>
      <c r="E616" s="271">
        <v>-753.6</v>
      </c>
      <c r="F616" s="271">
        <v>0</v>
      </c>
      <c r="G616" s="271">
        <v>0</v>
      </c>
      <c r="H616" s="345"/>
      <c r="I616" s="271">
        <v>0</v>
      </c>
      <c r="J616" s="271">
        <v>0</v>
      </c>
      <c r="K616" s="271"/>
      <c r="L616" s="271">
        <v>0</v>
      </c>
    </row>
    <row r="617" spans="1:12" s="1" customFormat="1" ht="40.200000000000003" x14ac:dyDescent="0.3">
      <c r="A617" s="343"/>
      <c r="B617" s="344" t="s">
        <v>276</v>
      </c>
      <c r="C617" s="6" t="s">
        <v>275</v>
      </c>
      <c r="D617" s="345">
        <v>0</v>
      </c>
      <c r="E617" s="345">
        <v>753.6</v>
      </c>
      <c r="F617" s="345">
        <v>753.6</v>
      </c>
      <c r="G617" s="345">
        <v>0</v>
      </c>
      <c r="H617" s="345"/>
      <c r="I617" s="345">
        <v>0</v>
      </c>
      <c r="J617" s="345">
        <v>0</v>
      </c>
      <c r="K617" s="345"/>
      <c r="L617" s="345">
        <v>0</v>
      </c>
    </row>
    <row r="618" spans="1:12" s="1" customFormat="1" ht="14.4" x14ac:dyDescent="0.3">
      <c r="A618" s="4"/>
      <c r="B618" s="4"/>
      <c r="C618" s="3" t="s">
        <v>0</v>
      </c>
      <c r="D618" s="267">
        <f t="shared" ref="D618:L618" si="76">D561+D11</f>
        <v>1185566.2359499999</v>
      </c>
      <c r="E618" s="267">
        <f t="shared" si="76"/>
        <v>6354.642109999998</v>
      </c>
      <c r="F618" s="267">
        <f t="shared" si="76"/>
        <v>1191920.87806</v>
      </c>
      <c r="G618" s="267">
        <f t="shared" si="76"/>
        <v>893464.81884999992</v>
      </c>
      <c r="H618" s="267">
        <f t="shared" si="76"/>
        <v>5370.7315699999999</v>
      </c>
      <c r="I618" s="267">
        <f t="shared" si="76"/>
        <v>898835.55041999975</v>
      </c>
      <c r="J618" s="267">
        <f t="shared" si="76"/>
        <v>899311.12258999981</v>
      </c>
      <c r="K618" s="267">
        <f t="shared" si="76"/>
        <v>8886.9</v>
      </c>
      <c r="L618" s="267">
        <f t="shared" si="76"/>
        <v>908198.02258999972</v>
      </c>
    </row>
    <row r="619" spans="1:12" x14ac:dyDescent="0.25">
      <c r="D619" s="200"/>
      <c r="E619" s="200"/>
      <c r="F619" s="200"/>
      <c r="G619" s="200"/>
      <c r="H619" s="200"/>
      <c r="I619" s="200"/>
      <c r="J619" s="200"/>
      <c r="K619" s="200"/>
      <c r="L619" s="200"/>
    </row>
    <row r="621" spans="1:12" x14ac:dyDescent="0.25">
      <c r="C621" s="201"/>
      <c r="D621" s="202"/>
      <c r="E621" s="202"/>
      <c r="F621" s="202"/>
      <c r="G621" s="202"/>
      <c r="H621" s="202"/>
      <c r="I621" s="202"/>
      <c r="J621" s="202"/>
      <c r="K621" s="202"/>
      <c r="L621" s="202"/>
    </row>
    <row r="622" spans="1:12" x14ac:dyDescent="0.25">
      <c r="D622" s="200"/>
      <c r="E622" s="200"/>
      <c r="F622" s="200"/>
      <c r="G622" s="200"/>
      <c r="H622" s="200"/>
      <c r="I622" s="200"/>
      <c r="J622" s="200"/>
      <c r="K622" s="200"/>
      <c r="L622" s="200"/>
    </row>
    <row r="623" spans="1:12" x14ac:dyDescent="0.25">
      <c r="D623" s="200"/>
      <c r="E623" s="200"/>
      <c r="F623" s="200"/>
      <c r="G623" s="200"/>
      <c r="H623" s="200"/>
      <c r="I623" s="200"/>
      <c r="J623" s="200"/>
      <c r="K623" s="200"/>
      <c r="L623" s="200"/>
    </row>
    <row r="624" spans="1:12" x14ac:dyDescent="0.25">
      <c r="G624" s="200"/>
      <c r="H624" s="200"/>
      <c r="I624" s="200"/>
    </row>
    <row r="625" spans="4:12" x14ac:dyDescent="0.25">
      <c r="D625" s="200"/>
      <c r="E625" s="200"/>
      <c r="F625" s="200"/>
      <c r="G625" s="200"/>
      <c r="H625" s="200"/>
      <c r="I625" s="200"/>
      <c r="J625" s="200"/>
      <c r="K625" s="200"/>
      <c r="L625" s="200"/>
    </row>
    <row r="626" spans="4:12" x14ac:dyDescent="0.25">
      <c r="D626" s="200"/>
      <c r="E626" s="200"/>
      <c r="F626" s="200"/>
      <c r="G626" s="200"/>
      <c r="H626" s="200"/>
      <c r="I626" s="200"/>
      <c r="J626" s="200"/>
      <c r="K626" s="200"/>
      <c r="L626" s="200"/>
    </row>
    <row r="628" spans="4:12" x14ac:dyDescent="0.25">
      <c r="D628" s="200"/>
      <c r="E628" s="200"/>
      <c r="F628" s="200"/>
      <c r="G628" s="200"/>
      <c r="H628" s="200"/>
      <c r="I628" s="200"/>
      <c r="J628" s="200"/>
      <c r="K628" s="200"/>
      <c r="L628" s="200"/>
    </row>
    <row r="631" spans="4:12" x14ac:dyDescent="0.25">
      <c r="D631" s="200"/>
      <c r="E631" s="200"/>
      <c r="F631" s="200"/>
    </row>
  </sheetData>
  <autoFilter ref="A8:J624"/>
  <mergeCells count="10">
    <mergeCell ref="F5:L5"/>
    <mergeCell ref="D8:F8"/>
    <mergeCell ref="A8:A9"/>
    <mergeCell ref="B8:B9"/>
    <mergeCell ref="C8:C9"/>
    <mergeCell ref="A6:J6"/>
    <mergeCell ref="G1:K1"/>
    <mergeCell ref="F2:L2"/>
    <mergeCell ref="F3:L3"/>
    <mergeCell ref="F4:L4"/>
  </mergeCells>
  <pageMargins left="1.1023622047244095" right="0.51181102362204722" top="0.59055118110236227" bottom="0.39370078740157483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6"/>
  <sheetViews>
    <sheetView view="pageBreakPreview" zoomScale="85" zoomScaleNormal="63" zoomScaleSheetLayoutView="85" workbookViewId="0">
      <selection activeCell="K9" sqref="K9"/>
    </sheetView>
  </sheetViews>
  <sheetFormatPr defaultColWidth="9.109375" defaultRowHeight="14.4" x14ac:dyDescent="0.3"/>
  <cols>
    <col min="1" max="2" width="9.109375" style="1"/>
    <col min="3" max="3" width="14.44140625" style="1" customWidth="1"/>
    <col min="4" max="4" width="7.5546875" style="1" customWidth="1"/>
    <col min="5" max="5" width="78" style="1" customWidth="1"/>
    <col min="6" max="7" width="15.44140625" style="1" hidden="1" customWidth="1"/>
    <col min="8" max="8" width="13.21875" style="1" customWidth="1"/>
    <col min="9" max="9" width="0.21875" style="1" hidden="1" customWidth="1"/>
    <col min="10" max="10" width="15.44140625" style="1" hidden="1" customWidth="1"/>
    <col min="11" max="11" width="13.44140625" style="1" customWidth="1"/>
    <col min="12" max="12" width="0.33203125" style="1" hidden="1" customWidth="1"/>
    <col min="13" max="13" width="15.44140625" style="1" hidden="1" customWidth="1"/>
    <col min="14" max="14" width="13.6640625" style="1" customWidth="1"/>
    <col min="15" max="16384" width="9.109375" style="1"/>
  </cols>
  <sheetData>
    <row r="1" spans="1:14" ht="15" customHeight="1" x14ac:dyDescent="0.3">
      <c r="C1" s="135"/>
      <c r="D1" s="135"/>
      <c r="E1" s="135"/>
      <c r="H1" s="489" t="s">
        <v>597</v>
      </c>
      <c r="I1" s="489"/>
      <c r="J1" s="489"/>
      <c r="K1" s="489"/>
      <c r="L1" s="489"/>
      <c r="M1" s="489"/>
      <c r="N1" s="489"/>
    </row>
    <row r="2" spans="1:14" ht="15" customHeight="1" x14ac:dyDescent="0.3">
      <c r="C2" s="135"/>
      <c r="D2" s="135"/>
      <c r="E2" s="138"/>
      <c r="H2" s="490" t="s">
        <v>596</v>
      </c>
      <c r="I2" s="490"/>
      <c r="J2" s="490"/>
      <c r="K2" s="490"/>
      <c r="L2" s="490"/>
      <c r="M2" s="490"/>
      <c r="N2" s="490"/>
    </row>
    <row r="3" spans="1:14" ht="15.75" customHeight="1" x14ac:dyDescent="0.3">
      <c r="C3" s="137"/>
      <c r="D3" s="137"/>
      <c r="E3" s="136"/>
      <c r="H3" s="491" t="s">
        <v>595</v>
      </c>
      <c r="I3" s="491"/>
      <c r="J3" s="491"/>
      <c r="K3" s="491"/>
      <c r="L3" s="491"/>
      <c r="M3" s="491"/>
      <c r="N3" s="491"/>
    </row>
    <row r="4" spans="1:14" ht="15.75" customHeight="1" x14ac:dyDescent="0.3">
      <c r="C4" s="135"/>
      <c r="D4" s="135"/>
      <c r="E4" s="135"/>
      <c r="H4" s="492" t="s">
        <v>594</v>
      </c>
      <c r="I4" s="492"/>
      <c r="J4" s="492"/>
      <c r="K4" s="492"/>
      <c r="L4" s="492"/>
      <c r="M4" s="492"/>
      <c r="N4" s="492"/>
    </row>
    <row r="5" spans="1:14" ht="15" customHeight="1" x14ac:dyDescent="0.3">
      <c r="C5" s="135"/>
      <c r="D5" s="135"/>
      <c r="E5" s="135"/>
      <c r="F5" s="134"/>
      <c r="G5" s="134"/>
      <c r="H5" s="489" t="s">
        <v>924</v>
      </c>
      <c r="I5" s="489"/>
      <c r="J5" s="489"/>
      <c r="K5" s="489"/>
      <c r="L5" s="489"/>
      <c r="M5" s="489"/>
      <c r="N5" s="489"/>
    </row>
    <row r="6" spans="1:14" ht="15" customHeight="1" x14ac:dyDescent="0.3">
      <c r="C6" s="135"/>
      <c r="D6" s="135"/>
      <c r="E6" s="135"/>
      <c r="F6" s="134"/>
      <c r="G6" s="134"/>
      <c r="H6" s="134"/>
      <c r="I6" s="203"/>
      <c r="J6" s="361"/>
      <c r="K6" s="361"/>
      <c r="L6" s="203"/>
      <c r="M6" s="361"/>
      <c r="N6" s="361"/>
    </row>
    <row r="7" spans="1:14" x14ac:dyDescent="0.3">
      <c r="A7" s="470" t="s">
        <v>755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</row>
    <row r="8" spans="1:14" x14ac:dyDescent="0.3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2"/>
      <c r="M8" s="132"/>
      <c r="N8" s="132" t="s">
        <v>593</v>
      </c>
    </row>
    <row r="9" spans="1:14" ht="39.6" x14ac:dyDescent="0.3">
      <c r="A9" s="131" t="s">
        <v>592</v>
      </c>
      <c r="B9" s="131" t="s">
        <v>591</v>
      </c>
      <c r="C9" s="130" t="s">
        <v>590</v>
      </c>
      <c r="D9" s="130" t="s">
        <v>589</v>
      </c>
      <c r="E9" s="130" t="s">
        <v>588</v>
      </c>
      <c r="F9" s="467" t="s">
        <v>587</v>
      </c>
      <c r="G9" s="468"/>
      <c r="H9" s="469"/>
      <c r="I9" s="129" t="s">
        <v>586</v>
      </c>
      <c r="J9" s="374"/>
      <c r="K9" s="129" t="s">
        <v>586</v>
      </c>
      <c r="L9" s="129" t="s">
        <v>585</v>
      </c>
      <c r="M9" s="129"/>
      <c r="N9" s="129" t="s">
        <v>585</v>
      </c>
    </row>
    <row r="10" spans="1:14" x14ac:dyDescent="0.3">
      <c r="A10" s="303"/>
      <c r="B10" s="303"/>
      <c r="C10" s="292"/>
      <c r="D10" s="292"/>
      <c r="E10" s="292"/>
      <c r="F10" s="292" t="s">
        <v>844</v>
      </c>
      <c r="G10" s="292" t="s">
        <v>845</v>
      </c>
      <c r="H10" s="292" t="s">
        <v>844</v>
      </c>
      <c r="I10" s="300" t="s">
        <v>844</v>
      </c>
      <c r="J10" s="292" t="s">
        <v>845</v>
      </c>
      <c r="K10" s="300" t="s">
        <v>844</v>
      </c>
      <c r="L10" s="300" t="s">
        <v>844</v>
      </c>
      <c r="M10" s="292" t="s">
        <v>845</v>
      </c>
      <c r="N10" s="300" t="s">
        <v>844</v>
      </c>
    </row>
    <row r="11" spans="1:14" x14ac:dyDescent="0.3">
      <c r="A11" s="40">
        <v>601</v>
      </c>
      <c r="B11" s="40"/>
      <c r="C11" s="40"/>
      <c r="D11" s="40"/>
      <c r="E11" s="39" t="s">
        <v>584</v>
      </c>
      <c r="F11" s="38">
        <f t="shared" ref="F11:N11" si="0">F12+F106+F115+F166+F282+F432+F447+F473+F422</f>
        <v>450371.00568999996</v>
      </c>
      <c r="G11" s="38">
        <f t="shared" si="0"/>
        <v>3696</v>
      </c>
      <c r="H11" s="38">
        <f t="shared" si="0"/>
        <v>454067.00568999996</v>
      </c>
      <c r="I11" s="38">
        <f t="shared" si="0"/>
        <v>260625.51116000005</v>
      </c>
      <c r="J11" s="38">
        <f t="shared" si="0"/>
        <v>3983.4315699999997</v>
      </c>
      <c r="K11" s="38">
        <f t="shared" si="0"/>
        <v>264608.94272999995</v>
      </c>
      <c r="L11" s="38">
        <f t="shared" si="0"/>
        <v>262336.32993000001</v>
      </c>
      <c r="M11" s="38">
        <f t="shared" si="0"/>
        <v>1421.9</v>
      </c>
      <c r="N11" s="38">
        <f t="shared" si="0"/>
        <v>263758.22993000003</v>
      </c>
    </row>
    <row r="12" spans="1:14" x14ac:dyDescent="0.3">
      <c r="A12" s="21"/>
      <c r="B12" s="23" t="s">
        <v>40</v>
      </c>
      <c r="C12" s="22"/>
      <c r="D12" s="21"/>
      <c r="E12" s="20" t="s">
        <v>39</v>
      </c>
      <c r="F12" s="85">
        <f t="shared" ref="F12:M12" si="1">F13+F20+F55+F62</f>
        <v>99797.97172999999</v>
      </c>
      <c r="G12" s="85">
        <f t="shared" si="1"/>
        <v>217.7</v>
      </c>
      <c r="H12" s="85">
        <f t="shared" si="1"/>
        <v>100015.67172999999</v>
      </c>
      <c r="I12" s="85">
        <f t="shared" si="1"/>
        <v>96650.588770000002</v>
      </c>
      <c r="J12" s="85">
        <f t="shared" si="1"/>
        <v>489.1</v>
      </c>
      <c r="K12" s="85">
        <f t="shared" si="1"/>
        <v>97139.688770000008</v>
      </c>
      <c r="L12" s="85">
        <f t="shared" si="1"/>
        <v>95379.035200000013</v>
      </c>
      <c r="M12" s="85">
        <f t="shared" si="1"/>
        <v>43.5</v>
      </c>
      <c r="N12" s="85">
        <f>N13+N20+N55+N62</f>
        <v>95422.535200000013</v>
      </c>
    </row>
    <row r="13" spans="1:14" ht="26.4" x14ac:dyDescent="0.3">
      <c r="A13" s="21"/>
      <c r="B13" s="23" t="s">
        <v>583</v>
      </c>
      <c r="C13" s="22"/>
      <c r="D13" s="21"/>
      <c r="E13" s="20" t="s">
        <v>582</v>
      </c>
      <c r="F13" s="85">
        <f t="shared" ref="F13:N18" si="2">F14</f>
        <v>2911.1</v>
      </c>
      <c r="G13" s="85"/>
      <c r="H13" s="85">
        <f t="shared" si="2"/>
        <v>2911.1</v>
      </c>
      <c r="I13" s="85">
        <f t="shared" si="2"/>
        <v>3022</v>
      </c>
      <c r="J13" s="376"/>
      <c r="K13" s="85">
        <f t="shared" si="2"/>
        <v>3022</v>
      </c>
      <c r="L13" s="85">
        <f t="shared" si="2"/>
        <v>3022</v>
      </c>
      <c r="M13" s="85"/>
      <c r="N13" s="85">
        <f t="shared" si="2"/>
        <v>3022</v>
      </c>
    </row>
    <row r="14" spans="1:14" x14ac:dyDescent="0.3">
      <c r="A14" s="21"/>
      <c r="B14" s="23"/>
      <c r="C14" s="119" t="s">
        <v>36</v>
      </c>
      <c r="D14" s="128"/>
      <c r="E14" s="127" t="s">
        <v>35</v>
      </c>
      <c r="F14" s="85">
        <f t="shared" si="2"/>
        <v>2911.1</v>
      </c>
      <c r="G14" s="85"/>
      <c r="H14" s="85">
        <f t="shared" si="2"/>
        <v>2911.1</v>
      </c>
      <c r="I14" s="85">
        <f t="shared" si="2"/>
        <v>3022</v>
      </c>
      <c r="J14" s="376"/>
      <c r="K14" s="85">
        <f t="shared" si="2"/>
        <v>3022</v>
      </c>
      <c r="L14" s="85">
        <f t="shared" si="2"/>
        <v>3022</v>
      </c>
      <c r="M14" s="85"/>
      <c r="N14" s="85">
        <f t="shared" si="2"/>
        <v>3022</v>
      </c>
    </row>
    <row r="15" spans="1:14" ht="26.4" x14ac:dyDescent="0.3">
      <c r="A15" s="54"/>
      <c r="B15" s="34"/>
      <c r="C15" s="35" t="s">
        <v>34</v>
      </c>
      <c r="D15" s="34"/>
      <c r="E15" s="33" t="s">
        <v>103</v>
      </c>
      <c r="F15" s="32">
        <f t="shared" si="2"/>
        <v>2911.1</v>
      </c>
      <c r="G15" s="32"/>
      <c r="H15" s="32">
        <f t="shared" si="2"/>
        <v>2911.1</v>
      </c>
      <c r="I15" s="32">
        <f t="shared" si="2"/>
        <v>3022</v>
      </c>
      <c r="J15" s="377"/>
      <c r="K15" s="32">
        <f t="shared" si="2"/>
        <v>3022</v>
      </c>
      <c r="L15" s="32">
        <f t="shared" si="2"/>
        <v>3022</v>
      </c>
      <c r="M15" s="32"/>
      <c r="N15" s="32">
        <f t="shared" si="2"/>
        <v>3022</v>
      </c>
    </row>
    <row r="16" spans="1:14" ht="27" x14ac:dyDescent="0.3">
      <c r="A16" s="31"/>
      <c r="B16" s="31"/>
      <c r="C16" s="31" t="s">
        <v>32</v>
      </c>
      <c r="D16" s="31"/>
      <c r="E16" s="30" t="s">
        <v>31</v>
      </c>
      <c r="F16" s="29">
        <f t="shared" si="2"/>
        <v>2911.1</v>
      </c>
      <c r="G16" s="29"/>
      <c r="H16" s="29">
        <f t="shared" si="2"/>
        <v>2911.1</v>
      </c>
      <c r="I16" s="29">
        <f t="shared" si="2"/>
        <v>3022</v>
      </c>
      <c r="J16" s="378"/>
      <c r="K16" s="29">
        <f t="shared" si="2"/>
        <v>3022</v>
      </c>
      <c r="L16" s="29">
        <f t="shared" si="2"/>
        <v>3022</v>
      </c>
      <c r="M16" s="29"/>
      <c r="N16" s="29">
        <f t="shared" si="2"/>
        <v>3022</v>
      </c>
    </row>
    <row r="17" spans="1:14" ht="40.200000000000003" x14ac:dyDescent="0.3">
      <c r="A17" s="223"/>
      <c r="B17" s="223"/>
      <c r="C17" s="223" t="s">
        <v>30</v>
      </c>
      <c r="D17" s="223"/>
      <c r="E17" s="224" t="s">
        <v>29</v>
      </c>
      <c r="F17" s="225">
        <f t="shared" si="2"/>
        <v>2911.1</v>
      </c>
      <c r="G17" s="225"/>
      <c r="H17" s="225">
        <f t="shared" si="2"/>
        <v>2911.1</v>
      </c>
      <c r="I17" s="225">
        <f t="shared" si="2"/>
        <v>3022</v>
      </c>
      <c r="J17" s="379"/>
      <c r="K17" s="225">
        <f t="shared" si="2"/>
        <v>3022</v>
      </c>
      <c r="L17" s="225">
        <f t="shared" si="2"/>
        <v>3022</v>
      </c>
      <c r="M17" s="225"/>
      <c r="N17" s="225">
        <f t="shared" si="2"/>
        <v>3022</v>
      </c>
    </row>
    <row r="18" spans="1:14" ht="27" x14ac:dyDescent="0.3">
      <c r="A18" s="8"/>
      <c r="B18" s="8"/>
      <c r="C18" s="7" t="s">
        <v>581</v>
      </c>
      <c r="D18" s="7"/>
      <c r="E18" s="6" t="s">
        <v>580</v>
      </c>
      <c r="F18" s="9">
        <f t="shared" si="2"/>
        <v>2911.1</v>
      </c>
      <c r="G18" s="9"/>
      <c r="H18" s="9">
        <f t="shared" si="2"/>
        <v>2911.1</v>
      </c>
      <c r="I18" s="9">
        <f t="shared" si="2"/>
        <v>3022</v>
      </c>
      <c r="J18" s="380"/>
      <c r="K18" s="9">
        <f t="shared" si="2"/>
        <v>3022</v>
      </c>
      <c r="L18" s="9">
        <f t="shared" si="2"/>
        <v>3022</v>
      </c>
      <c r="M18" s="9"/>
      <c r="N18" s="9">
        <f t="shared" si="2"/>
        <v>3022</v>
      </c>
    </row>
    <row r="19" spans="1:14" ht="40.200000000000003" x14ac:dyDescent="0.3">
      <c r="A19" s="8"/>
      <c r="B19" s="8"/>
      <c r="C19" s="7"/>
      <c r="D19" s="7" t="s">
        <v>2</v>
      </c>
      <c r="E19" s="6" t="s">
        <v>1</v>
      </c>
      <c r="F19" s="9">
        <f>2693+218.1</f>
        <v>2911.1</v>
      </c>
      <c r="G19" s="9"/>
      <c r="H19" s="9">
        <f>2693+218.1</f>
        <v>2911.1</v>
      </c>
      <c r="I19" s="9">
        <f>2795.5+226.5</f>
        <v>3022</v>
      </c>
      <c r="J19" s="380"/>
      <c r="K19" s="9">
        <f>2795.5+226.5</f>
        <v>3022</v>
      </c>
      <c r="L19" s="9">
        <f>2795.5+226.5</f>
        <v>3022</v>
      </c>
      <c r="M19" s="9"/>
      <c r="N19" s="9">
        <f>2795.5+226.5</f>
        <v>3022</v>
      </c>
    </row>
    <row r="20" spans="1:14" s="78" customFormat="1" ht="40.200000000000003" x14ac:dyDescent="0.3">
      <c r="A20" s="120"/>
      <c r="B20" s="23" t="s">
        <v>579</v>
      </c>
      <c r="C20" s="61"/>
      <c r="D20" s="61"/>
      <c r="E20" s="118" t="s">
        <v>578</v>
      </c>
      <c r="F20" s="27">
        <f t="shared" ref="F20:M20" si="3">F21+F51</f>
        <v>50614.999999999985</v>
      </c>
      <c r="G20" s="27">
        <f t="shared" si="3"/>
        <v>61.6</v>
      </c>
      <c r="H20" s="27">
        <f t="shared" si="3"/>
        <v>50676.599999999984</v>
      </c>
      <c r="I20" s="27">
        <f t="shared" si="3"/>
        <v>50124.3</v>
      </c>
      <c r="J20" s="27">
        <f t="shared" si="3"/>
        <v>43.5</v>
      </c>
      <c r="K20" s="27">
        <f t="shared" si="3"/>
        <v>50167.8</v>
      </c>
      <c r="L20" s="27">
        <f t="shared" si="3"/>
        <v>52447.700000000004</v>
      </c>
      <c r="M20" s="27">
        <f t="shared" si="3"/>
        <v>43.5</v>
      </c>
      <c r="N20" s="27">
        <f>N21+N51</f>
        <v>52491.200000000004</v>
      </c>
    </row>
    <row r="21" spans="1:14" s="78" customFormat="1" x14ac:dyDescent="0.3">
      <c r="A21" s="120"/>
      <c r="B21" s="23"/>
      <c r="C21" s="119" t="s">
        <v>36</v>
      </c>
      <c r="D21" s="128"/>
      <c r="E21" s="127" t="s">
        <v>35</v>
      </c>
      <c r="F21" s="27">
        <f t="shared" ref="F21:M21" si="4">F22+F46</f>
        <v>50608.799999999988</v>
      </c>
      <c r="G21" s="27">
        <f t="shared" si="4"/>
        <v>61.6</v>
      </c>
      <c r="H21" s="27">
        <f t="shared" si="4"/>
        <v>50670.399999999987</v>
      </c>
      <c r="I21" s="27">
        <f t="shared" si="4"/>
        <v>50117.9</v>
      </c>
      <c r="J21" s="27">
        <f t="shared" si="4"/>
        <v>43.5</v>
      </c>
      <c r="K21" s="27">
        <f t="shared" si="4"/>
        <v>50161.4</v>
      </c>
      <c r="L21" s="27">
        <f t="shared" si="4"/>
        <v>52441.3</v>
      </c>
      <c r="M21" s="27">
        <f t="shared" si="4"/>
        <v>43.5</v>
      </c>
      <c r="N21" s="27">
        <f>N22+N46</f>
        <v>52484.800000000003</v>
      </c>
    </row>
    <row r="22" spans="1:14" ht="26.4" x14ac:dyDescent="0.3">
      <c r="A22" s="54"/>
      <c r="B22" s="34"/>
      <c r="C22" s="35" t="s">
        <v>34</v>
      </c>
      <c r="D22" s="34"/>
      <c r="E22" s="33" t="s">
        <v>895</v>
      </c>
      <c r="F22" s="32">
        <f t="shared" ref="F22:M22" si="5">F23+F28</f>
        <v>50516.599999999991</v>
      </c>
      <c r="G22" s="32">
        <f t="shared" si="5"/>
        <v>61.6</v>
      </c>
      <c r="H22" s="32">
        <f t="shared" si="5"/>
        <v>50578.19999999999</v>
      </c>
      <c r="I22" s="32">
        <f t="shared" si="5"/>
        <v>50023</v>
      </c>
      <c r="J22" s="32">
        <f t="shared" si="5"/>
        <v>43.5</v>
      </c>
      <c r="K22" s="32">
        <f t="shared" si="5"/>
        <v>50066.5</v>
      </c>
      <c r="L22" s="32">
        <f t="shared" si="5"/>
        <v>52346.400000000001</v>
      </c>
      <c r="M22" s="32">
        <f t="shared" si="5"/>
        <v>43.5</v>
      </c>
      <c r="N22" s="32">
        <f>N23+N28</f>
        <v>52389.9</v>
      </c>
    </row>
    <row r="23" spans="1:14" ht="27" x14ac:dyDescent="0.3">
      <c r="A23" s="31"/>
      <c r="B23" s="31"/>
      <c r="C23" s="31" t="s">
        <v>32</v>
      </c>
      <c r="D23" s="31"/>
      <c r="E23" s="30" t="s">
        <v>31</v>
      </c>
      <c r="F23" s="29">
        <f t="shared" ref="F23:N24" si="6">F24</f>
        <v>47939.599999999991</v>
      </c>
      <c r="G23" s="29">
        <f t="shared" si="6"/>
        <v>61.6</v>
      </c>
      <c r="H23" s="29">
        <f t="shared" si="6"/>
        <v>48001.19999999999</v>
      </c>
      <c r="I23" s="29">
        <f t="shared" si="6"/>
        <v>47372.4</v>
      </c>
      <c r="J23" s="29">
        <f t="shared" si="6"/>
        <v>43.5</v>
      </c>
      <c r="K23" s="29">
        <f t="shared" si="6"/>
        <v>47415.9</v>
      </c>
      <c r="L23" s="29">
        <f t="shared" si="6"/>
        <v>49695.8</v>
      </c>
      <c r="M23" s="29">
        <f t="shared" si="6"/>
        <v>43.5</v>
      </c>
      <c r="N23" s="29">
        <f t="shared" si="6"/>
        <v>49739.3</v>
      </c>
    </row>
    <row r="24" spans="1:14" ht="40.200000000000003" x14ac:dyDescent="0.3">
      <c r="A24" s="223"/>
      <c r="B24" s="223"/>
      <c r="C24" s="223" t="s">
        <v>30</v>
      </c>
      <c r="D24" s="223"/>
      <c r="E24" s="224" t="s">
        <v>29</v>
      </c>
      <c r="F24" s="225">
        <f t="shared" si="6"/>
        <v>47939.599999999991</v>
      </c>
      <c r="G24" s="225">
        <f t="shared" si="6"/>
        <v>61.6</v>
      </c>
      <c r="H24" s="225">
        <f t="shared" si="6"/>
        <v>48001.19999999999</v>
      </c>
      <c r="I24" s="225">
        <f t="shared" si="6"/>
        <v>47372.4</v>
      </c>
      <c r="J24" s="225">
        <f t="shared" si="6"/>
        <v>43.5</v>
      </c>
      <c r="K24" s="225">
        <f t="shared" si="6"/>
        <v>47415.9</v>
      </c>
      <c r="L24" s="225">
        <f t="shared" si="6"/>
        <v>49695.8</v>
      </c>
      <c r="M24" s="225">
        <f t="shared" si="6"/>
        <v>43.5</v>
      </c>
      <c r="N24" s="225">
        <f t="shared" si="6"/>
        <v>49739.3</v>
      </c>
    </row>
    <row r="25" spans="1:14" ht="26.4" x14ac:dyDescent="0.3">
      <c r="A25" s="8"/>
      <c r="B25" s="8"/>
      <c r="C25" s="7" t="s">
        <v>28</v>
      </c>
      <c r="D25" s="7"/>
      <c r="E25" s="10" t="s">
        <v>27</v>
      </c>
      <c r="F25" s="5">
        <f t="shared" ref="F25:M25" si="7">F26+F27</f>
        <v>47939.599999999991</v>
      </c>
      <c r="G25" s="5">
        <f t="shared" si="7"/>
        <v>61.6</v>
      </c>
      <c r="H25" s="5">
        <f t="shared" si="7"/>
        <v>48001.19999999999</v>
      </c>
      <c r="I25" s="5">
        <f t="shared" si="7"/>
        <v>47372.4</v>
      </c>
      <c r="J25" s="5">
        <f t="shared" si="7"/>
        <v>43.5</v>
      </c>
      <c r="K25" s="5">
        <f t="shared" si="7"/>
        <v>47415.9</v>
      </c>
      <c r="L25" s="5">
        <f t="shared" si="7"/>
        <v>49695.8</v>
      </c>
      <c r="M25" s="5">
        <f t="shared" si="7"/>
        <v>43.5</v>
      </c>
      <c r="N25" s="5">
        <f>N26+N27</f>
        <v>49739.3</v>
      </c>
    </row>
    <row r="26" spans="1:14" ht="40.200000000000003" x14ac:dyDescent="0.3">
      <c r="A26" s="8"/>
      <c r="B26" s="8"/>
      <c r="C26" s="7"/>
      <c r="D26" s="7" t="s">
        <v>2</v>
      </c>
      <c r="E26" s="6" t="s">
        <v>1</v>
      </c>
      <c r="F26" s="5">
        <f>44073.6-598.3+1983.7+157.2</f>
        <v>45616.19999999999</v>
      </c>
      <c r="G26" s="5">
        <v>61.6</v>
      </c>
      <c r="H26" s="5">
        <f>44073.6-598.3+1983.7+157.2+61.6</f>
        <v>45677.799999999988</v>
      </c>
      <c r="I26" s="5">
        <f>45599.6-617.7+2227.2+163.3</f>
        <v>47372.4</v>
      </c>
      <c r="J26" s="382">
        <v>43.5</v>
      </c>
      <c r="K26" s="5">
        <f>45599.6-617.7+2227.2+163.3+43.5</f>
        <v>47415.9</v>
      </c>
      <c r="L26" s="5">
        <f>45599.6-617.7+2227.2+163.3</f>
        <v>47372.4</v>
      </c>
      <c r="M26" s="5">
        <v>43.5</v>
      </c>
      <c r="N26" s="5">
        <f>45599.6-617.7+2227.2+163.3+43.5</f>
        <v>47415.9</v>
      </c>
    </row>
    <row r="27" spans="1:14" x14ac:dyDescent="0.3">
      <c r="A27" s="8"/>
      <c r="B27" s="8"/>
      <c r="C27" s="7"/>
      <c r="D27" s="7" t="s">
        <v>12</v>
      </c>
      <c r="E27" s="6" t="s">
        <v>11</v>
      </c>
      <c r="F27" s="5">
        <f>2348.3-33.2+8.3</f>
        <v>2323.4000000000005</v>
      </c>
      <c r="G27" s="5"/>
      <c r="H27" s="5">
        <f>2348.3-33.2+8.3</f>
        <v>2323.4000000000005</v>
      </c>
      <c r="I27" s="5">
        <v>0</v>
      </c>
      <c r="J27" s="382"/>
      <c r="K27" s="5">
        <v>0</v>
      </c>
      <c r="L27" s="5">
        <f>2348.3-33.2+8.3</f>
        <v>2323.4000000000005</v>
      </c>
      <c r="M27" s="5"/>
      <c r="N27" s="5">
        <f>2348.3-33.2+8.3</f>
        <v>2323.4000000000005</v>
      </c>
    </row>
    <row r="28" spans="1:14" ht="40.200000000000003" x14ac:dyDescent="0.3">
      <c r="A28" s="31"/>
      <c r="B28" s="31"/>
      <c r="C28" s="31" t="s">
        <v>527</v>
      </c>
      <c r="D28" s="31"/>
      <c r="E28" s="52" t="s">
        <v>549</v>
      </c>
      <c r="F28" s="29">
        <f>F29</f>
        <v>2577</v>
      </c>
      <c r="G28" s="29"/>
      <c r="H28" s="29">
        <f>H29</f>
        <v>2577</v>
      </c>
      <c r="I28" s="29">
        <f>I29</f>
        <v>2650.6</v>
      </c>
      <c r="J28" s="378"/>
      <c r="K28" s="29">
        <f>K29</f>
        <v>2650.6</v>
      </c>
      <c r="L28" s="29">
        <f>L29</f>
        <v>2650.6</v>
      </c>
      <c r="M28" s="29"/>
      <c r="N28" s="29">
        <f>N29</f>
        <v>2650.6</v>
      </c>
    </row>
    <row r="29" spans="1:14" ht="27" x14ac:dyDescent="0.3">
      <c r="A29" s="223"/>
      <c r="B29" s="223"/>
      <c r="C29" s="223" t="s">
        <v>525</v>
      </c>
      <c r="D29" s="231"/>
      <c r="E29" s="224" t="s">
        <v>548</v>
      </c>
      <c r="F29" s="225">
        <f>F30+F33+F36+F38+F41+F44</f>
        <v>2577</v>
      </c>
      <c r="G29" s="225"/>
      <c r="H29" s="225">
        <f>H30+H33+H36+H38+H41+H44</f>
        <v>2577</v>
      </c>
      <c r="I29" s="225">
        <f>I30+I33+I36+I38+I41+I44</f>
        <v>2650.6</v>
      </c>
      <c r="J29" s="379"/>
      <c r="K29" s="225">
        <f>K30+K33+K36+K38+K41+K44</f>
        <v>2650.6</v>
      </c>
      <c r="L29" s="225">
        <f>L30+L33+L36+L38+L41+L44</f>
        <v>2650.6</v>
      </c>
      <c r="M29" s="225"/>
      <c r="N29" s="225">
        <f>N30+N33+N36+N38+N41+N44</f>
        <v>2650.6</v>
      </c>
    </row>
    <row r="30" spans="1:14" ht="27" x14ac:dyDescent="0.3">
      <c r="A30" s="8"/>
      <c r="B30" s="8"/>
      <c r="C30" s="7" t="s">
        <v>577</v>
      </c>
      <c r="D30" s="7"/>
      <c r="E30" s="64" t="s">
        <v>576</v>
      </c>
      <c r="F30" s="79">
        <f>SUM(F31:F32)</f>
        <v>1372.2</v>
      </c>
      <c r="G30" s="79"/>
      <c r="H30" s="79">
        <f>SUM(H31:H32)</f>
        <v>1372.2</v>
      </c>
      <c r="I30" s="79">
        <f>SUM(I31:I32)</f>
        <v>1411.5</v>
      </c>
      <c r="J30" s="383"/>
      <c r="K30" s="79">
        <f>SUM(K31:K32)</f>
        <v>1411.5</v>
      </c>
      <c r="L30" s="79">
        <f>SUM(L31:L32)</f>
        <v>1411.5</v>
      </c>
      <c r="M30" s="79"/>
      <c r="N30" s="79">
        <f>SUM(N31:N32)</f>
        <v>1411.5</v>
      </c>
    </row>
    <row r="31" spans="1:14" ht="40.200000000000003" x14ac:dyDescent="0.3">
      <c r="A31" s="8"/>
      <c r="B31" s="8"/>
      <c r="C31" s="7"/>
      <c r="D31" s="7" t="s">
        <v>2</v>
      </c>
      <c r="E31" s="6" t="s">
        <v>1</v>
      </c>
      <c r="F31" s="79">
        <v>1196.7</v>
      </c>
      <c r="G31" s="79"/>
      <c r="H31" s="79">
        <v>1196.7</v>
      </c>
      <c r="I31" s="79">
        <v>1242.8</v>
      </c>
      <c r="J31" s="383"/>
      <c r="K31" s="79">
        <v>1242.8</v>
      </c>
      <c r="L31" s="79">
        <v>1242.8</v>
      </c>
      <c r="M31" s="79"/>
      <c r="N31" s="79">
        <v>1242.8</v>
      </c>
    </row>
    <row r="32" spans="1:14" x14ac:dyDescent="0.3">
      <c r="A32" s="8"/>
      <c r="B32" s="8"/>
      <c r="C32" s="7"/>
      <c r="D32" s="7" t="s">
        <v>12</v>
      </c>
      <c r="E32" s="6" t="s">
        <v>11</v>
      </c>
      <c r="F32" s="79">
        <v>175.5</v>
      </c>
      <c r="G32" s="79"/>
      <c r="H32" s="79">
        <v>175.5</v>
      </c>
      <c r="I32" s="79">
        <v>168.7</v>
      </c>
      <c r="J32" s="383"/>
      <c r="K32" s="79">
        <v>168.7</v>
      </c>
      <c r="L32" s="79">
        <v>168.7</v>
      </c>
      <c r="M32" s="79"/>
      <c r="N32" s="79">
        <v>168.7</v>
      </c>
    </row>
    <row r="33" spans="1:14" ht="27" x14ac:dyDescent="0.3">
      <c r="A33" s="8"/>
      <c r="B33" s="8"/>
      <c r="C33" s="7" t="s">
        <v>812</v>
      </c>
      <c r="D33" s="7"/>
      <c r="E33" s="64" t="s">
        <v>575</v>
      </c>
      <c r="F33" s="79">
        <f>SUM(F34:F35)</f>
        <v>649.5</v>
      </c>
      <c r="G33" s="79"/>
      <c r="H33" s="79">
        <f>SUM(H34:H35)</f>
        <v>649.5</v>
      </c>
      <c r="I33" s="79">
        <f>SUM(I34:I35)</f>
        <v>667.6</v>
      </c>
      <c r="J33" s="383"/>
      <c r="K33" s="79">
        <f>SUM(K34:K35)</f>
        <v>667.6</v>
      </c>
      <c r="L33" s="79">
        <f>SUM(L34:L35)</f>
        <v>667.6</v>
      </c>
      <c r="M33" s="79"/>
      <c r="N33" s="79">
        <f>SUM(N34:N35)</f>
        <v>667.6</v>
      </c>
    </row>
    <row r="34" spans="1:14" ht="40.200000000000003" x14ac:dyDescent="0.3">
      <c r="A34" s="8"/>
      <c r="B34" s="8"/>
      <c r="C34" s="7"/>
      <c r="D34" s="7" t="s">
        <v>2</v>
      </c>
      <c r="E34" s="6" t="s">
        <v>1</v>
      </c>
      <c r="F34" s="79">
        <v>598.4</v>
      </c>
      <c r="G34" s="79"/>
      <c r="H34" s="79">
        <v>598.4</v>
      </c>
      <c r="I34" s="79">
        <v>621.4</v>
      </c>
      <c r="J34" s="383"/>
      <c r="K34" s="79">
        <v>621.4</v>
      </c>
      <c r="L34" s="79">
        <v>621.4</v>
      </c>
      <c r="M34" s="79"/>
      <c r="N34" s="79">
        <v>621.4</v>
      </c>
    </row>
    <row r="35" spans="1:14" x14ac:dyDescent="0.3">
      <c r="A35" s="8"/>
      <c r="B35" s="8"/>
      <c r="C35" s="7"/>
      <c r="D35" s="7" t="s">
        <v>12</v>
      </c>
      <c r="E35" s="6" t="s">
        <v>11</v>
      </c>
      <c r="F35" s="79">
        <v>51.1</v>
      </c>
      <c r="G35" s="79"/>
      <c r="H35" s="79">
        <v>51.1</v>
      </c>
      <c r="I35" s="79">
        <v>46.2</v>
      </c>
      <c r="J35" s="383"/>
      <c r="K35" s="79">
        <v>46.2</v>
      </c>
      <c r="L35" s="79">
        <v>46.2</v>
      </c>
      <c r="M35" s="79"/>
      <c r="N35" s="79">
        <v>46.2</v>
      </c>
    </row>
    <row r="36" spans="1:14" x14ac:dyDescent="0.3">
      <c r="A36" s="8"/>
      <c r="B36" s="8"/>
      <c r="C36" s="7" t="s">
        <v>574</v>
      </c>
      <c r="D36" s="7"/>
      <c r="E36" s="64" t="s">
        <v>573</v>
      </c>
      <c r="F36" s="79">
        <f>F37</f>
        <v>12.2</v>
      </c>
      <c r="G36" s="79"/>
      <c r="H36" s="79">
        <f>H37</f>
        <v>12.2</v>
      </c>
      <c r="I36" s="79">
        <f>I37</f>
        <v>12.2</v>
      </c>
      <c r="J36" s="383"/>
      <c r="K36" s="79">
        <f>K37</f>
        <v>12.2</v>
      </c>
      <c r="L36" s="79">
        <f>L37</f>
        <v>12.2</v>
      </c>
      <c r="M36" s="79"/>
      <c r="N36" s="79">
        <f>N37</f>
        <v>12.2</v>
      </c>
    </row>
    <row r="37" spans="1:14" x14ac:dyDescent="0.3">
      <c r="A37" s="8"/>
      <c r="B37" s="8"/>
      <c r="C37" s="7"/>
      <c r="D37" s="7" t="s">
        <v>12</v>
      </c>
      <c r="E37" s="6" t="s">
        <v>11</v>
      </c>
      <c r="F37" s="79">
        <v>12.2</v>
      </c>
      <c r="G37" s="79"/>
      <c r="H37" s="79">
        <v>12.2</v>
      </c>
      <c r="I37" s="79">
        <v>12.2</v>
      </c>
      <c r="J37" s="383"/>
      <c r="K37" s="79">
        <v>12.2</v>
      </c>
      <c r="L37" s="79">
        <v>12.2</v>
      </c>
      <c r="M37" s="79"/>
      <c r="N37" s="79">
        <v>12.2</v>
      </c>
    </row>
    <row r="38" spans="1:14" ht="27" x14ac:dyDescent="0.3">
      <c r="A38" s="8"/>
      <c r="B38" s="8"/>
      <c r="C38" s="7" t="s">
        <v>572</v>
      </c>
      <c r="D38" s="7"/>
      <c r="E38" s="6" t="s">
        <v>571</v>
      </c>
      <c r="F38" s="79">
        <f>SUM(F39:F40)</f>
        <v>73.599999999999994</v>
      </c>
      <c r="G38" s="79"/>
      <c r="H38" s="79">
        <f>SUM(H39:H40)</f>
        <v>73.599999999999994</v>
      </c>
      <c r="I38" s="79">
        <f>SUM(I39:I40)</f>
        <v>75.8</v>
      </c>
      <c r="J38" s="383"/>
      <c r="K38" s="79">
        <f>SUM(K39:K40)</f>
        <v>75.8</v>
      </c>
      <c r="L38" s="79">
        <f>SUM(L39:L40)</f>
        <v>75.8</v>
      </c>
      <c r="M38" s="79"/>
      <c r="N38" s="79">
        <f>SUM(N39:N40)</f>
        <v>75.8</v>
      </c>
    </row>
    <row r="39" spans="1:14" ht="40.200000000000003" x14ac:dyDescent="0.3">
      <c r="A39" s="8"/>
      <c r="B39" s="8"/>
      <c r="C39" s="7"/>
      <c r="D39" s="7" t="s">
        <v>2</v>
      </c>
      <c r="E39" s="6" t="s">
        <v>1</v>
      </c>
      <c r="F39" s="79">
        <v>59.8</v>
      </c>
      <c r="G39" s="79"/>
      <c r="H39" s="79">
        <v>59.8</v>
      </c>
      <c r="I39" s="79">
        <v>62.1</v>
      </c>
      <c r="J39" s="383"/>
      <c r="K39" s="79">
        <v>62.1</v>
      </c>
      <c r="L39" s="79">
        <v>62.1</v>
      </c>
      <c r="M39" s="79"/>
      <c r="N39" s="79">
        <v>62.1</v>
      </c>
    </row>
    <row r="40" spans="1:14" x14ac:dyDescent="0.3">
      <c r="A40" s="8"/>
      <c r="B40" s="8"/>
      <c r="C40" s="7"/>
      <c r="D40" s="7" t="s">
        <v>12</v>
      </c>
      <c r="E40" s="6" t="s">
        <v>11</v>
      </c>
      <c r="F40" s="79">
        <v>13.8</v>
      </c>
      <c r="G40" s="79"/>
      <c r="H40" s="79">
        <v>13.8</v>
      </c>
      <c r="I40" s="79">
        <v>13.7</v>
      </c>
      <c r="J40" s="383"/>
      <c r="K40" s="79">
        <v>13.7</v>
      </c>
      <c r="L40" s="79">
        <v>13.7</v>
      </c>
      <c r="M40" s="79"/>
      <c r="N40" s="79">
        <v>13.7</v>
      </c>
    </row>
    <row r="41" spans="1:14" ht="27" x14ac:dyDescent="0.3">
      <c r="A41" s="8"/>
      <c r="B41" s="8"/>
      <c r="C41" s="7" t="s">
        <v>570</v>
      </c>
      <c r="D41" s="7"/>
      <c r="E41" s="6" t="s">
        <v>569</v>
      </c>
      <c r="F41" s="79">
        <f>SUM(F42:F43)</f>
        <v>453.3</v>
      </c>
      <c r="G41" s="79"/>
      <c r="H41" s="79">
        <f>SUM(H42:H43)</f>
        <v>453.3</v>
      </c>
      <c r="I41" s="79">
        <f>SUM(I42:I43)</f>
        <v>466.8</v>
      </c>
      <c r="J41" s="383"/>
      <c r="K41" s="79">
        <f>SUM(K42:K43)</f>
        <v>466.8</v>
      </c>
      <c r="L41" s="79">
        <f>SUM(L42:L43)</f>
        <v>466.8</v>
      </c>
      <c r="M41" s="79"/>
      <c r="N41" s="79">
        <f>SUM(N42:N43)</f>
        <v>466.8</v>
      </c>
    </row>
    <row r="42" spans="1:14" ht="40.200000000000003" x14ac:dyDescent="0.3">
      <c r="A42" s="8"/>
      <c r="B42" s="8"/>
      <c r="C42" s="7"/>
      <c r="D42" s="7" t="s">
        <v>2</v>
      </c>
      <c r="E42" s="6" t="s">
        <v>1</v>
      </c>
      <c r="F42" s="79">
        <v>404.8</v>
      </c>
      <c r="G42" s="79"/>
      <c r="H42" s="79">
        <v>404.8</v>
      </c>
      <c r="I42" s="79">
        <v>420.5</v>
      </c>
      <c r="J42" s="383"/>
      <c r="K42" s="79">
        <v>420.5</v>
      </c>
      <c r="L42" s="79">
        <v>420.5</v>
      </c>
      <c r="M42" s="79"/>
      <c r="N42" s="79">
        <v>420.5</v>
      </c>
    </row>
    <row r="43" spans="1:14" x14ac:dyDescent="0.3">
      <c r="A43" s="8"/>
      <c r="B43" s="8"/>
      <c r="C43" s="7"/>
      <c r="D43" s="7" t="s">
        <v>12</v>
      </c>
      <c r="E43" s="6" t="s">
        <v>11</v>
      </c>
      <c r="F43" s="79">
        <v>48.5</v>
      </c>
      <c r="G43" s="79"/>
      <c r="H43" s="79">
        <v>48.5</v>
      </c>
      <c r="I43" s="79">
        <v>46.3</v>
      </c>
      <c r="J43" s="383"/>
      <c r="K43" s="79">
        <v>46.3</v>
      </c>
      <c r="L43" s="79">
        <v>46.3</v>
      </c>
      <c r="M43" s="79"/>
      <c r="N43" s="79">
        <v>46.3</v>
      </c>
    </row>
    <row r="44" spans="1:14" ht="40.200000000000003" x14ac:dyDescent="0.3">
      <c r="A44" s="8"/>
      <c r="B44" s="8"/>
      <c r="C44" s="7" t="s">
        <v>568</v>
      </c>
      <c r="D44" s="7"/>
      <c r="E44" s="64" t="s">
        <v>567</v>
      </c>
      <c r="F44" s="79">
        <f>F45</f>
        <v>16.2</v>
      </c>
      <c r="G44" s="79"/>
      <c r="H44" s="79">
        <f>H45</f>
        <v>16.2</v>
      </c>
      <c r="I44" s="79">
        <f>I45</f>
        <v>16.7</v>
      </c>
      <c r="J44" s="383"/>
      <c r="K44" s="79">
        <f>K45</f>
        <v>16.7</v>
      </c>
      <c r="L44" s="79">
        <f>L45</f>
        <v>16.7</v>
      </c>
      <c r="M44" s="79"/>
      <c r="N44" s="79">
        <f>N45</f>
        <v>16.7</v>
      </c>
    </row>
    <row r="45" spans="1:14" x14ac:dyDescent="0.3">
      <c r="A45" s="8"/>
      <c r="B45" s="8"/>
      <c r="C45" s="7"/>
      <c r="D45" s="7" t="s">
        <v>12</v>
      </c>
      <c r="E45" s="6" t="s">
        <v>11</v>
      </c>
      <c r="F45" s="79">
        <v>16.2</v>
      </c>
      <c r="G45" s="79"/>
      <c r="H45" s="79">
        <v>16.2</v>
      </c>
      <c r="I45" s="79">
        <v>16.7</v>
      </c>
      <c r="J45" s="383"/>
      <c r="K45" s="79">
        <v>16.7</v>
      </c>
      <c r="L45" s="79">
        <v>16.7</v>
      </c>
      <c r="M45" s="79"/>
      <c r="N45" s="79">
        <v>16.7</v>
      </c>
    </row>
    <row r="46" spans="1:14" ht="26.4" x14ac:dyDescent="0.3">
      <c r="A46" s="54"/>
      <c r="B46" s="34"/>
      <c r="C46" s="35" t="s">
        <v>272</v>
      </c>
      <c r="D46" s="34"/>
      <c r="E46" s="33" t="s">
        <v>271</v>
      </c>
      <c r="F46" s="32">
        <f t="shared" ref="F46:N47" si="8">F47</f>
        <v>92.199999999999989</v>
      </c>
      <c r="G46" s="32"/>
      <c r="H46" s="32">
        <f t="shared" si="8"/>
        <v>92.199999999999989</v>
      </c>
      <c r="I46" s="32">
        <f t="shared" si="8"/>
        <v>94.9</v>
      </c>
      <c r="J46" s="377"/>
      <c r="K46" s="32">
        <f t="shared" si="8"/>
        <v>94.9</v>
      </c>
      <c r="L46" s="32">
        <f t="shared" si="8"/>
        <v>94.9</v>
      </c>
      <c r="M46" s="32"/>
      <c r="N46" s="32">
        <f t="shared" si="8"/>
        <v>94.9</v>
      </c>
    </row>
    <row r="47" spans="1:14" ht="40.200000000000003" x14ac:dyDescent="0.3">
      <c r="A47" s="223"/>
      <c r="B47" s="223"/>
      <c r="C47" s="223" t="s">
        <v>270</v>
      </c>
      <c r="D47" s="223"/>
      <c r="E47" s="224" t="s">
        <v>269</v>
      </c>
      <c r="F47" s="225">
        <f t="shared" si="8"/>
        <v>92.199999999999989</v>
      </c>
      <c r="G47" s="225"/>
      <c r="H47" s="225">
        <f t="shared" si="8"/>
        <v>92.199999999999989</v>
      </c>
      <c r="I47" s="225">
        <f t="shared" si="8"/>
        <v>94.9</v>
      </c>
      <c r="J47" s="379"/>
      <c r="K47" s="225">
        <f t="shared" si="8"/>
        <v>94.9</v>
      </c>
      <c r="L47" s="225">
        <f t="shared" si="8"/>
        <v>94.9</v>
      </c>
      <c r="M47" s="225"/>
      <c r="N47" s="225">
        <f t="shared" si="8"/>
        <v>94.9</v>
      </c>
    </row>
    <row r="48" spans="1:14" ht="39.6" x14ac:dyDescent="0.3">
      <c r="A48" s="8"/>
      <c r="B48" s="8"/>
      <c r="C48" s="7" t="s">
        <v>566</v>
      </c>
      <c r="D48" s="7"/>
      <c r="E48" s="10" t="s">
        <v>565</v>
      </c>
      <c r="F48" s="9">
        <f>F49+F50</f>
        <v>92.199999999999989</v>
      </c>
      <c r="G48" s="9"/>
      <c r="H48" s="9">
        <f>H49+H50</f>
        <v>92.199999999999989</v>
      </c>
      <c r="I48" s="9">
        <f>I49+I50</f>
        <v>94.9</v>
      </c>
      <c r="J48" s="380"/>
      <c r="K48" s="9">
        <f>K49+K50</f>
        <v>94.9</v>
      </c>
      <c r="L48" s="9">
        <f>L49+L50</f>
        <v>94.9</v>
      </c>
      <c r="M48" s="9"/>
      <c r="N48" s="9">
        <f>N49+N50</f>
        <v>94.9</v>
      </c>
    </row>
    <row r="49" spans="1:14" ht="40.200000000000003" x14ac:dyDescent="0.3">
      <c r="A49" s="8"/>
      <c r="B49" s="8"/>
      <c r="C49" s="7"/>
      <c r="D49" s="7" t="s">
        <v>2</v>
      </c>
      <c r="E49" s="6" t="s">
        <v>1</v>
      </c>
      <c r="F49" s="9">
        <v>59.8</v>
      </c>
      <c r="G49" s="9"/>
      <c r="H49" s="9">
        <v>59.8</v>
      </c>
      <c r="I49" s="9">
        <v>62.1</v>
      </c>
      <c r="J49" s="380"/>
      <c r="K49" s="9">
        <v>62.1</v>
      </c>
      <c r="L49" s="9">
        <v>62.1</v>
      </c>
      <c r="M49" s="9"/>
      <c r="N49" s="9">
        <v>62.1</v>
      </c>
    </row>
    <row r="50" spans="1:14" x14ac:dyDescent="0.3">
      <c r="A50" s="8"/>
      <c r="B50" s="8"/>
      <c r="C50" s="7"/>
      <c r="D50" s="7" t="s">
        <v>12</v>
      </c>
      <c r="E50" s="6" t="s">
        <v>11</v>
      </c>
      <c r="F50" s="9">
        <v>32.4</v>
      </c>
      <c r="G50" s="9"/>
      <c r="H50" s="9">
        <v>32.4</v>
      </c>
      <c r="I50" s="9">
        <v>32.799999999999997</v>
      </c>
      <c r="J50" s="380"/>
      <c r="K50" s="9">
        <v>32.799999999999997</v>
      </c>
      <c r="L50" s="9">
        <v>32.799999999999997</v>
      </c>
      <c r="M50" s="9"/>
      <c r="N50" s="9">
        <v>32.799999999999997</v>
      </c>
    </row>
    <row r="51" spans="1:14" s="78" customFormat="1" x14ac:dyDescent="0.3">
      <c r="A51" s="114"/>
      <c r="B51" s="114"/>
      <c r="C51" s="49" t="s">
        <v>52</v>
      </c>
      <c r="D51" s="48"/>
      <c r="E51" s="47" t="s">
        <v>51</v>
      </c>
      <c r="F51" s="112">
        <f t="shared" ref="F51:N53" si="9">F52</f>
        <v>6.2</v>
      </c>
      <c r="G51" s="112"/>
      <c r="H51" s="112">
        <f t="shared" si="9"/>
        <v>6.2</v>
      </c>
      <c r="I51" s="112">
        <f t="shared" si="9"/>
        <v>6.4</v>
      </c>
      <c r="J51" s="384"/>
      <c r="K51" s="112">
        <f t="shared" si="9"/>
        <v>6.4</v>
      </c>
      <c r="L51" s="112">
        <f t="shared" si="9"/>
        <v>6.4</v>
      </c>
      <c r="M51" s="112"/>
      <c r="N51" s="112">
        <f t="shared" si="9"/>
        <v>6.4</v>
      </c>
    </row>
    <row r="52" spans="1:14" s="78" customFormat="1" ht="26.4" x14ac:dyDescent="0.3">
      <c r="A52" s="126"/>
      <c r="B52" s="126"/>
      <c r="C52" s="125" t="s">
        <v>16</v>
      </c>
      <c r="D52" s="124"/>
      <c r="E52" s="123" t="s">
        <v>44</v>
      </c>
      <c r="F52" s="122">
        <f t="shared" si="9"/>
        <v>6.2</v>
      </c>
      <c r="G52" s="122"/>
      <c r="H52" s="122">
        <f t="shared" si="9"/>
        <v>6.2</v>
      </c>
      <c r="I52" s="122">
        <f t="shared" si="9"/>
        <v>6.4</v>
      </c>
      <c r="J52" s="385"/>
      <c r="K52" s="122">
        <f t="shared" si="9"/>
        <v>6.4</v>
      </c>
      <c r="L52" s="122">
        <f t="shared" si="9"/>
        <v>6.4</v>
      </c>
      <c r="M52" s="122"/>
      <c r="N52" s="122">
        <f t="shared" si="9"/>
        <v>6.4</v>
      </c>
    </row>
    <row r="53" spans="1:14" ht="26.4" x14ac:dyDescent="0.3">
      <c r="A53" s="8"/>
      <c r="B53" s="8"/>
      <c r="C53" s="57" t="s">
        <v>564</v>
      </c>
      <c r="D53" s="55"/>
      <c r="E53" s="10" t="s">
        <v>563</v>
      </c>
      <c r="F53" s="79">
        <f t="shared" si="9"/>
        <v>6.2</v>
      </c>
      <c r="G53" s="79"/>
      <c r="H53" s="79">
        <f t="shared" si="9"/>
        <v>6.2</v>
      </c>
      <c r="I53" s="79">
        <f t="shared" si="9"/>
        <v>6.4</v>
      </c>
      <c r="J53" s="383"/>
      <c r="K53" s="79">
        <f t="shared" si="9"/>
        <v>6.4</v>
      </c>
      <c r="L53" s="79">
        <f t="shared" si="9"/>
        <v>6.4</v>
      </c>
      <c r="M53" s="79"/>
      <c r="N53" s="79">
        <f t="shared" si="9"/>
        <v>6.4</v>
      </c>
    </row>
    <row r="54" spans="1:14" x14ac:dyDescent="0.3">
      <c r="A54" s="8"/>
      <c r="B54" s="8"/>
      <c r="C54" s="57"/>
      <c r="D54" s="55" t="s">
        <v>12</v>
      </c>
      <c r="E54" s="10" t="s">
        <v>11</v>
      </c>
      <c r="F54" s="79">
        <v>6.2</v>
      </c>
      <c r="G54" s="79"/>
      <c r="H54" s="79">
        <v>6.2</v>
      </c>
      <c r="I54" s="79">
        <v>6.4</v>
      </c>
      <c r="J54" s="383"/>
      <c r="K54" s="79">
        <v>6.4</v>
      </c>
      <c r="L54" s="79">
        <v>6.4</v>
      </c>
      <c r="M54" s="79"/>
      <c r="N54" s="79">
        <v>6.4</v>
      </c>
    </row>
    <row r="55" spans="1:14" x14ac:dyDescent="0.3">
      <c r="A55" s="21"/>
      <c r="B55" s="23" t="s">
        <v>562</v>
      </c>
      <c r="C55" s="22"/>
      <c r="D55" s="23"/>
      <c r="E55" s="28" t="s">
        <v>561</v>
      </c>
      <c r="F55" s="19">
        <f t="shared" ref="F55:N60" si="10">F56</f>
        <v>2.2999999999999998</v>
      </c>
      <c r="G55" s="19"/>
      <c r="H55" s="19">
        <f t="shared" si="10"/>
        <v>2.2999999999999998</v>
      </c>
      <c r="I55" s="19">
        <f t="shared" si="10"/>
        <v>34.5</v>
      </c>
      <c r="J55" s="386"/>
      <c r="K55" s="19">
        <f t="shared" si="10"/>
        <v>34.5</v>
      </c>
      <c r="L55" s="19">
        <f t="shared" si="10"/>
        <v>2.3000000000000043</v>
      </c>
      <c r="M55" s="19"/>
      <c r="N55" s="19">
        <f t="shared" si="10"/>
        <v>2.3000000000000043</v>
      </c>
    </row>
    <row r="56" spans="1:14" s="121" customFormat="1" ht="13.8" x14ac:dyDescent="0.3">
      <c r="A56" s="21"/>
      <c r="B56" s="23"/>
      <c r="C56" s="21" t="s">
        <v>36</v>
      </c>
      <c r="D56" s="119"/>
      <c r="E56" s="118" t="s">
        <v>35</v>
      </c>
      <c r="F56" s="19">
        <f t="shared" si="10"/>
        <v>2.2999999999999998</v>
      </c>
      <c r="G56" s="19"/>
      <c r="H56" s="19">
        <f t="shared" si="10"/>
        <v>2.2999999999999998</v>
      </c>
      <c r="I56" s="19">
        <f t="shared" si="10"/>
        <v>34.5</v>
      </c>
      <c r="J56" s="386"/>
      <c r="K56" s="19">
        <f t="shared" si="10"/>
        <v>34.5</v>
      </c>
      <c r="L56" s="19">
        <f t="shared" si="10"/>
        <v>2.3000000000000043</v>
      </c>
      <c r="M56" s="19"/>
      <c r="N56" s="19">
        <f t="shared" si="10"/>
        <v>2.3000000000000043</v>
      </c>
    </row>
    <row r="57" spans="1:14" ht="26.4" x14ac:dyDescent="0.3">
      <c r="A57" s="54"/>
      <c r="B57" s="34"/>
      <c r="C57" s="35" t="s">
        <v>34</v>
      </c>
      <c r="D57" s="34"/>
      <c r="E57" s="33" t="s">
        <v>103</v>
      </c>
      <c r="F57" s="32">
        <f t="shared" si="10"/>
        <v>2.2999999999999998</v>
      </c>
      <c r="G57" s="32"/>
      <c r="H57" s="32">
        <f t="shared" si="10"/>
        <v>2.2999999999999998</v>
      </c>
      <c r="I57" s="32">
        <f t="shared" si="10"/>
        <v>34.5</v>
      </c>
      <c r="J57" s="377"/>
      <c r="K57" s="32">
        <f t="shared" si="10"/>
        <v>34.5</v>
      </c>
      <c r="L57" s="32">
        <f t="shared" si="10"/>
        <v>2.3000000000000043</v>
      </c>
      <c r="M57" s="32"/>
      <c r="N57" s="32">
        <f t="shared" si="10"/>
        <v>2.3000000000000043</v>
      </c>
    </row>
    <row r="58" spans="1:14" ht="39.6" x14ac:dyDescent="0.3">
      <c r="A58" s="70"/>
      <c r="B58" s="68"/>
      <c r="C58" s="69" t="s">
        <v>527</v>
      </c>
      <c r="D58" s="68"/>
      <c r="E58" s="67" t="s">
        <v>560</v>
      </c>
      <c r="F58" s="66">
        <f t="shared" si="10"/>
        <v>2.2999999999999998</v>
      </c>
      <c r="G58" s="66"/>
      <c r="H58" s="66">
        <f t="shared" si="10"/>
        <v>2.2999999999999998</v>
      </c>
      <c r="I58" s="66">
        <f t="shared" si="10"/>
        <v>34.5</v>
      </c>
      <c r="J58" s="387"/>
      <c r="K58" s="66">
        <f t="shared" si="10"/>
        <v>34.5</v>
      </c>
      <c r="L58" s="66">
        <f t="shared" si="10"/>
        <v>2.3000000000000043</v>
      </c>
      <c r="M58" s="66"/>
      <c r="N58" s="66">
        <f t="shared" si="10"/>
        <v>2.3000000000000043</v>
      </c>
    </row>
    <row r="59" spans="1:14" ht="26.4" x14ac:dyDescent="0.3">
      <c r="A59" s="240"/>
      <c r="B59" s="228"/>
      <c r="C59" s="233" t="s">
        <v>525</v>
      </c>
      <c r="D59" s="228"/>
      <c r="E59" s="241" t="s">
        <v>559</v>
      </c>
      <c r="F59" s="230">
        <f t="shared" si="10"/>
        <v>2.2999999999999998</v>
      </c>
      <c r="G59" s="230"/>
      <c r="H59" s="230">
        <f t="shared" si="10"/>
        <v>2.2999999999999998</v>
      </c>
      <c r="I59" s="230">
        <f t="shared" si="10"/>
        <v>34.5</v>
      </c>
      <c r="J59" s="388"/>
      <c r="K59" s="230">
        <f t="shared" si="10"/>
        <v>34.5</v>
      </c>
      <c r="L59" s="230">
        <f t="shared" si="10"/>
        <v>2.3000000000000043</v>
      </c>
      <c r="M59" s="230"/>
      <c r="N59" s="230">
        <f t="shared" si="10"/>
        <v>2.3000000000000043</v>
      </c>
    </row>
    <row r="60" spans="1:14" ht="27" x14ac:dyDescent="0.3">
      <c r="A60" s="8"/>
      <c r="B60" s="8"/>
      <c r="C60" s="7" t="s">
        <v>558</v>
      </c>
      <c r="D60" s="7"/>
      <c r="E60" s="6" t="s">
        <v>557</v>
      </c>
      <c r="F60" s="79">
        <f t="shared" si="10"/>
        <v>2.2999999999999998</v>
      </c>
      <c r="G60" s="79"/>
      <c r="H60" s="79">
        <f t="shared" si="10"/>
        <v>2.2999999999999998</v>
      </c>
      <c r="I60" s="79">
        <f t="shared" si="10"/>
        <v>34.5</v>
      </c>
      <c r="J60" s="383"/>
      <c r="K60" s="79">
        <f t="shared" si="10"/>
        <v>34.5</v>
      </c>
      <c r="L60" s="79">
        <f t="shared" si="10"/>
        <v>2.3000000000000043</v>
      </c>
      <c r="M60" s="79"/>
      <c r="N60" s="79">
        <f t="shared" si="10"/>
        <v>2.3000000000000043</v>
      </c>
    </row>
    <row r="61" spans="1:14" x14ac:dyDescent="0.3">
      <c r="A61" s="8"/>
      <c r="B61" s="8"/>
      <c r="C61" s="7"/>
      <c r="D61" s="7" t="s">
        <v>12</v>
      </c>
      <c r="E61" s="6" t="s">
        <v>11</v>
      </c>
      <c r="F61" s="281">
        <v>2.2999999999999998</v>
      </c>
      <c r="G61" s="281"/>
      <c r="H61" s="281">
        <v>2.2999999999999998</v>
      </c>
      <c r="I61" s="281">
        <v>34.5</v>
      </c>
      <c r="J61" s="389"/>
      <c r="K61" s="281">
        <v>34.5</v>
      </c>
      <c r="L61" s="281">
        <v>2.3000000000000043</v>
      </c>
      <c r="M61" s="281"/>
      <c r="N61" s="281">
        <v>2.3000000000000043</v>
      </c>
    </row>
    <row r="62" spans="1:14" x14ac:dyDescent="0.3">
      <c r="A62" s="21"/>
      <c r="B62" s="23" t="s">
        <v>20</v>
      </c>
      <c r="C62" s="22"/>
      <c r="D62" s="21"/>
      <c r="E62" s="20" t="s">
        <v>19</v>
      </c>
      <c r="F62" s="19">
        <f t="shared" ref="F62:L62" si="11">F63+F88</f>
        <v>46269.571729999996</v>
      </c>
      <c r="G62" s="19">
        <f t="shared" si="11"/>
        <v>156.1</v>
      </c>
      <c r="H62" s="19">
        <f t="shared" si="11"/>
        <v>46425.671730000002</v>
      </c>
      <c r="I62" s="19">
        <f t="shared" si="11"/>
        <v>43469.788770000006</v>
      </c>
      <c r="J62" s="19">
        <f t="shared" si="11"/>
        <v>445.6</v>
      </c>
      <c r="K62" s="19">
        <f t="shared" si="11"/>
        <v>43915.388770000005</v>
      </c>
      <c r="L62" s="19">
        <f t="shared" si="11"/>
        <v>39907.035200000006</v>
      </c>
      <c r="M62" s="19"/>
      <c r="N62" s="19">
        <f>N63+N88</f>
        <v>39907.035200000006</v>
      </c>
    </row>
    <row r="63" spans="1:14" x14ac:dyDescent="0.3">
      <c r="A63" s="21"/>
      <c r="B63" s="23"/>
      <c r="C63" s="22" t="s">
        <v>36</v>
      </c>
      <c r="D63" s="21"/>
      <c r="E63" s="28" t="s">
        <v>35</v>
      </c>
      <c r="F63" s="19">
        <f>F64+F82</f>
        <v>4825.5717299999997</v>
      </c>
      <c r="G63" s="19"/>
      <c r="H63" s="19">
        <f>H64+H82</f>
        <v>4825.5717299999997</v>
      </c>
      <c r="I63" s="19">
        <f>I64+I82</f>
        <v>5978.5887699999994</v>
      </c>
      <c r="J63" s="386"/>
      <c r="K63" s="19">
        <f>K64+K82</f>
        <v>5978.5887699999994</v>
      </c>
      <c r="L63" s="19">
        <f>L64+L82</f>
        <v>2415.8352</v>
      </c>
      <c r="M63" s="19"/>
      <c r="N63" s="19">
        <f>N64+N82</f>
        <v>2415.8352</v>
      </c>
    </row>
    <row r="64" spans="1:14" ht="26.4" x14ac:dyDescent="0.3">
      <c r="A64" s="54"/>
      <c r="B64" s="34"/>
      <c r="C64" s="35" t="s">
        <v>34</v>
      </c>
      <c r="D64" s="34"/>
      <c r="E64" s="33" t="s">
        <v>33</v>
      </c>
      <c r="F64" s="32">
        <f>F65+F71+F76</f>
        <v>3252.3</v>
      </c>
      <c r="G64" s="32"/>
      <c r="H64" s="32">
        <f>H65+H71+H76</f>
        <v>3252.3</v>
      </c>
      <c r="I64" s="32">
        <f>I65+I71+I76</f>
        <v>1516.3000000000002</v>
      </c>
      <c r="J64" s="377"/>
      <c r="K64" s="32">
        <f>K65+K71+K76</f>
        <v>1516.3000000000002</v>
      </c>
      <c r="L64" s="32">
        <f>L65+L71+L76</f>
        <v>2269</v>
      </c>
      <c r="M64" s="32"/>
      <c r="N64" s="32">
        <f>N65+N71+N76</f>
        <v>2269</v>
      </c>
    </row>
    <row r="65" spans="1:14" ht="27" x14ac:dyDescent="0.3">
      <c r="A65" s="31"/>
      <c r="B65" s="31"/>
      <c r="C65" s="31" t="s">
        <v>556</v>
      </c>
      <c r="D65" s="31"/>
      <c r="E65" s="52" t="s">
        <v>555</v>
      </c>
      <c r="F65" s="29">
        <f>F66</f>
        <v>1841.1000000000001</v>
      </c>
      <c r="G65" s="29"/>
      <c r="H65" s="29">
        <f>H66</f>
        <v>1841.1000000000001</v>
      </c>
      <c r="I65" s="29">
        <f>I66</f>
        <v>69.400000000000006</v>
      </c>
      <c r="J65" s="378"/>
      <c r="K65" s="29">
        <f>K66</f>
        <v>69.400000000000006</v>
      </c>
      <c r="L65" s="29">
        <f>L66</f>
        <v>822.1</v>
      </c>
      <c r="M65" s="29"/>
      <c r="N65" s="29">
        <f>N66</f>
        <v>822.1</v>
      </c>
    </row>
    <row r="66" spans="1:14" x14ac:dyDescent="0.3">
      <c r="A66" s="223"/>
      <c r="B66" s="223"/>
      <c r="C66" s="223" t="s">
        <v>554</v>
      </c>
      <c r="D66" s="223"/>
      <c r="E66" s="224" t="s">
        <v>553</v>
      </c>
      <c r="F66" s="225">
        <f>F67+F69</f>
        <v>1841.1000000000001</v>
      </c>
      <c r="G66" s="225"/>
      <c r="H66" s="225">
        <f>H67+H69</f>
        <v>1841.1000000000001</v>
      </c>
      <c r="I66" s="225">
        <f>I67+I69</f>
        <v>69.400000000000006</v>
      </c>
      <c r="J66" s="379"/>
      <c r="K66" s="225">
        <f>K67+K69</f>
        <v>69.400000000000006</v>
      </c>
      <c r="L66" s="225">
        <f>L67+L69</f>
        <v>822.1</v>
      </c>
      <c r="M66" s="225"/>
      <c r="N66" s="225">
        <f>N67+N69</f>
        <v>822.1</v>
      </c>
    </row>
    <row r="67" spans="1:14" ht="53.4" x14ac:dyDescent="0.3">
      <c r="A67" s="7"/>
      <c r="B67" s="7"/>
      <c r="C67" s="7" t="s">
        <v>552</v>
      </c>
      <c r="D67" s="61"/>
      <c r="E67" s="6" t="s">
        <v>551</v>
      </c>
      <c r="F67" s="9">
        <f>F68</f>
        <v>1771.7</v>
      </c>
      <c r="G67" s="9"/>
      <c r="H67" s="9">
        <f>H68</f>
        <v>1771.7</v>
      </c>
      <c r="I67" s="9">
        <f>I68</f>
        <v>0</v>
      </c>
      <c r="J67" s="380"/>
      <c r="K67" s="9">
        <f>K68</f>
        <v>0</v>
      </c>
      <c r="L67" s="9">
        <f>L68</f>
        <v>752.7</v>
      </c>
      <c r="M67" s="9"/>
      <c r="N67" s="9">
        <f>N68</f>
        <v>752.7</v>
      </c>
    </row>
    <row r="68" spans="1:14" x14ac:dyDescent="0.3">
      <c r="A68" s="7"/>
      <c r="B68" s="7"/>
      <c r="C68" s="7"/>
      <c r="D68" s="7" t="s">
        <v>12</v>
      </c>
      <c r="E68" s="6" t="s">
        <v>11</v>
      </c>
      <c r="F68" s="9">
        <v>1771.7</v>
      </c>
      <c r="G68" s="9"/>
      <c r="H68" s="9">
        <v>1771.7</v>
      </c>
      <c r="I68" s="9">
        <v>0</v>
      </c>
      <c r="J68" s="380"/>
      <c r="K68" s="9">
        <v>0</v>
      </c>
      <c r="L68" s="9">
        <v>752.7</v>
      </c>
      <c r="M68" s="9"/>
      <c r="N68" s="9">
        <v>752.7</v>
      </c>
    </row>
    <row r="69" spans="1:14" ht="27" x14ac:dyDescent="0.3">
      <c r="A69" s="8"/>
      <c r="B69" s="8"/>
      <c r="C69" s="7" t="s">
        <v>759</v>
      </c>
      <c r="D69" s="7"/>
      <c r="E69" s="6" t="s">
        <v>550</v>
      </c>
      <c r="F69" s="9">
        <f>F70</f>
        <v>69.400000000000006</v>
      </c>
      <c r="G69" s="9"/>
      <c r="H69" s="9">
        <f>H70</f>
        <v>69.400000000000006</v>
      </c>
      <c r="I69" s="9">
        <f>I70</f>
        <v>69.400000000000006</v>
      </c>
      <c r="J69" s="380"/>
      <c r="K69" s="9">
        <f>K70</f>
        <v>69.400000000000006</v>
      </c>
      <c r="L69" s="9">
        <f>L70</f>
        <v>69.400000000000006</v>
      </c>
      <c r="M69" s="9"/>
      <c r="N69" s="9">
        <f>N70</f>
        <v>69.400000000000006</v>
      </c>
    </row>
    <row r="70" spans="1:14" x14ac:dyDescent="0.3">
      <c r="A70" s="8"/>
      <c r="B70" s="8"/>
      <c r="C70" s="7"/>
      <c r="D70" s="7" t="s">
        <v>12</v>
      </c>
      <c r="E70" s="6" t="s">
        <v>11</v>
      </c>
      <c r="F70" s="9">
        <v>69.400000000000006</v>
      </c>
      <c r="G70" s="9"/>
      <c r="H70" s="9">
        <v>69.400000000000006</v>
      </c>
      <c r="I70" s="9">
        <v>69.400000000000006</v>
      </c>
      <c r="J70" s="380"/>
      <c r="K70" s="9">
        <v>69.400000000000006</v>
      </c>
      <c r="L70" s="9">
        <v>69.400000000000006</v>
      </c>
      <c r="M70" s="9"/>
      <c r="N70" s="9">
        <v>69.400000000000006</v>
      </c>
    </row>
    <row r="71" spans="1:14" ht="40.200000000000003" x14ac:dyDescent="0.3">
      <c r="A71" s="31"/>
      <c r="B71" s="31"/>
      <c r="C71" s="31" t="s">
        <v>527</v>
      </c>
      <c r="D71" s="31"/>
      <c r="E71" s="52" t="s">
        <v>549</v>
      </c>
      <c r="F71" s="29">
        <f t="shared" ref="F71:N72" si="12">F72</f>
        <v>1159.2</v>
      </c>
      <c r="G71" s="29"/>
      <c r="H71" s="29">
        <f t="shared" si="12"/>
        <v>1159.2</v>
      </c>
      <c r="I71" s="29">
        <f t="shared" si="12"/>
        <v>1194.9000000000001</v>
      </c>
      <c r="J71" s="378"/>
      <c r="K71" s="29">
        <f t="shared" si="12"/>
        <v>1194.9000000000001</v>
      </c>
      <c r="L71" s="29">
        <f t="shared" si="12"/>
        <v>1194.9000000000001</v>
      </c>
      <c r="M71" s="29"/>
      <c r="N71" s="29">
        <f t="shared" si="12"/>
        <v>1194.9000000000001</v>
      </c>
    </row>
    <row r="72" spans="1:14" ht="27" x14ac:dyDescent="0.3">
      <c r="A72" s="223"/>
      <c r="B72" s="223"/>
      <c r="C72" s="223" t="s">
        <v>525</v>
      </c>
      <c r="D72" s="231"/>
      <c r="E72" s="224" t="s">
        <v>548</v>
      </c>
      <c r="F72" s="225">
        <f t="shared" si="12"/>
        <v>1159.2</v>
      </c>
      <c r="G72" s="225"/>
      <c r="H72" s="225">
        <f t="shared" si="12"/>
        <v>1159.2</v>
      </c>
      <c r="I72" s="225">
        <f t="shared" si="12"/>
        <v>1194.9000000000001</v>
      </c>
      <c r="J72" s="379"/>
      <c r="K72" s="225">
        <f t="shared" si="12"/>
        <v>1194.9000000000001</v>
      </c>
      <c r="L72" s="225">
        <f t="shared" si="12"/>
        <v>1194.9000000000001</v>
      </c>
      <c r="M72" s="225"/>
      <c r="N72" s="225">
        <f t="shared" si="12"/>
        <v>1194.9000000000001</v>
      </c>
    </row>
    <row r="73" spans="1:14" x14ac:dyDescent="0.3">
      <c r="A73" s="7"/>
      <c r="B73" s="7"/>
      <c r="C73" s="7" t="s">
        <v>547</v>
      </c>
      <c r="D73" s="7"/>
      <c r="E73" s="6" t="s">
        <v>546</v>
      </c>
      <c r="F73" s="79">
        <f>SUM(F74+F75)</f>
        <v>1159.2</v>
      </c>
      <c r="G73" s="79"/>
      <c r="H73" s="79">
        <f>SUM(H74+H75)</f>
        <v>1159.2</v>
      </c>
      <c r="I73" s="79">
        <f>SUM(I74+I75)</f>
        <v>1194.9000000000001</v>
      </c>
      <c r="J73" s="383"/>
      <c r="K73" s="79">
        <f>SUM(K74+K75)</f>
        <v>1194.9000000000001</v>
      </c>
      <c r="L73" s="79">
        <f>SUM(L74+L75)</f>
        <v>1194.9000000000001</v>
      </c>
      <c r="M73" s="79"/>
      <c r="N73" s="79">
        <f>SUM(N74+N75)</f>
        <v>1194.9000000000001</v>
      </c>
    </row>
    <row r="74" spans="1:14" ht="40.200000000000003" x14ac:dyDescent="0.3">
      <c r="A74" s="7"/>
      <c r="B74" s="7"/>
      <c r="C74" s="7"/>
      <c r="D74" s="7" t="s">
        <v>2</v>
      </c>
      <c r="E74" s="6" t="s">
        <v>1</v>
      </c>
      <c r="F74" s="79">
        <v>1145.8</v>
      </c>
      <c r="G74" s="79"/>
      <c r="H74" s="79">
        <v>1145.8</v>
      </c>
      <c r="I74" s="79">
        <v>1190</v>
      </c>
      <c r="J74" s="383"/>
      <c r="K74" s="79">
        <v>1190</v>
      </c>
      <c r="L74" s="79">
        <v>1190</v>
      </c>
      <c r="M74" s="79"/>
      <c r="N74" s="79">
        <v>1190</v>
      </c>
    </row>
    <row r="75" spans="1:14" x14ac:dyDescent="0.3">
      <c r="A75" s="7"/>
      <c r="B75" s="7"/>
      <c r="C75" s="7"/>
      <c r="D75" s="7" t="s">
        <v>12</v>
      </c>
      <c r="E75" s="6" t="s">
        <v>11</v>
      </c>
      <c r="F75" s="79">
        <v>13.4000000000001</v>
      </c>
      <c r="G75" s="79"/>
      <c r="H75" s="79">
        <v>13.4000000000001</v>
      </c>
      <c r="I75" s="79">
        <v>4.9000000000000901</v>
      </c>
      <c r="J75" s="383"/>
      <c r="K75" s="79">
        <v>4.9000000000000901</v>
      </c>
      <c r="L75" s="79">
        <v>4.9000000000000901</v>
      </c>
      <c r="M75" s="79"/>
      <c r="N75" s="79">
        <v>4.9000000000000901</v>
      </c>
    </row>
    <row r="76" spans="1:14" ht="27" x14ac:dyDescent="0.3">
      <c r="A76" s="31"/>
      <c r="B76" s="31"/>
      <c r="C76" s="31" t="s">
        <v>545</v>
      </c>
      <c r="D76" s="31"/>
      <c r="E76" s="52" t="s">
        <v>544</v>
      </c>
      <c r="F76" s="29">
        <f>F77</f>
        <v>252</v>
      </c>
      <c r="G76" s="29"/>
      <c r="H76" s="29">
        <f>H77</f>
        <v>252</v>
      </c>
      <c r="I76" s="29">
        <f>I77</f>
        <v>252</v>
      </c>
      <c r="J76" s="378"/>
      <c r="K76" s="29">
        <f>K77</f>
        <v>252</v>
      </c>
      <c r="L76" s="29">
        <f>L77</f>
        <v>252</v>
      </c>
      <c r="M76" s="29"/>
      <c r="N76" s="29">
        <f>N77</f>
        <v>252</v>
      </c>
    </row>
    <row r="77" spans="1:14" ht="27" x14ac:dyDescent="0.3">
      <c r="A77" s="223"/>
      <c r="B77" s="223"/>
      <c r="C77" s="223" t="s">
        <v>543</v>
      </c>
      <c r="D77" s="231"/>
      <c r="E77" s="224" t="s">
        <v>542</v>
      </c>
      <c r="F77" s="225">
        <f>F78+F80</f>
        <v>252</v>
      </c>
      <c r="G77" s="225"/>
      <c r="H77" s="225">
        <f>H78+H80</f>
        <v>252</v>
      </c>
      <c r="I77" s="225">
        <f>I78+I80</f>
        <v>252</v>
      </c>
      <c r="J77" s="379"/>
      <c r="K77" s="225">
        <f>K78+K80</f>
        <v>252</v>
      </c>
      <c r="L77" s="225">
        <f>L78+L80</f>
        <v>252</v>
      </c>
      <c r="M77" s="225"/>
      <c r="N77" s="225">
        <f>N78+N80</f>
        <v>252</v>
      </c>
    </row>
    <row r="78" spans="1:14" x14ac:dyDescent="0.3">
      <c r="A78" s="8"/>
      <c r="B78" s="8"/>
      <c r="C78" s="7" t="s">
        <v>541</v>
      </c>
      <c r="D78" s="7"/>
      <c r="E78" s="64" t="s">
        <v>540</v>
      </c>
      <c r="F78" s="79">
        <f>F79</f>
        <v>133.30000000000001</v>
      </c>
      <c r="G78" s="79"/>
      <c r="H78" s="79">
        <f>H79</f>
        <v>133.30000000000001</v>
      </c>
      <c r="I78" s="79">
        <f>I79</f>
        <v>133.30000000000001</v>
      </c>
      <c r="J78" s="383"/>
      <c r="K78" s="79">
        <f>K79</f>
        <v>133.30000000000001</v>
      </c>
      <c r="L78" s="79">
        <f>L79</f>
        <v>133.30000000000001</v>
      </c>
      <c r="M78" s="79"/>
      <c r="N78" s="79">
        <f>N79</f>
        <v>133.30000000000001</v>
      </c>
    </row>
    <row r="79" spans="1:14" x14ac:dyDescent="0.3">
      <c r="A79" s="8"/>
      <c r="B79" s="8"/>
      <c r="C79" s="7"/>
      <c r="D79" s="7" t="s">
        <v>12</v>
      </c>
      <c r="E79" s="6" t="s">
        <v>11</v>
      </c>
      <c r="F79" s="79">
        <f>133.3</f>
        <v>133.30000000000001</v>
      </c>
      <c r="G79" s="79"/>
      <c r="H79" s="79">
        <f>133.3</f>
        <v>133.30000000000001</v>
      </c>
      <c r="I79" s="79">
        <v>133.30000000000001</v>
      </c>
      <c r="J79" s="383"/>
      <c r="K79" s="79">
        <v>133.30000000000001</v>
      </c>
      <c r="L79" s="79">
        <v>133.30000000000001</v>
      </c>
      <c r="M79" s="79"/>
      <c r="N79" s="79">
        <v>133.30000000000001</v>
      </c>
    </row>
    <row r="80" spans="1:14" ht="40.200000000000003" x14ac:dyDescent="0.3">
      <c r="A80" s="8"/>
      <c r="B80" s="8"/>
      <c r="C80" s="7" t="s">
        <v>539</v>
      </c>
      <c r="D80" s="7"/>
      <c r="E80" s="64" t="s">
        <v>638</v>
      </c>
      <c r="F80" s="79">
        <f>F81</f>
        <v>118.7</v>
      </c>
      <c r="G80" s="79"/>
      <c r="H80" s="79">
        <f>H81</f>
        <v>118.7</v>
      </c>
      <c r="I80" s="79">
        <f>I81</f>
        <v>118.7</v>
      </c>
      <c r="J80" s="383"/>
      <c r="K80" s="79">
        <f>K81</f>
        <v>118.7</v>
      </c>
      <c r="L80" s="79">
        <f>L81</f>
        <v>118.7</v>
      </c>
      <c r="M80" s="79"/>
      <c r="N80" s="79">
        <f>N81</f>
        <v>118.7</v>
      </c>
    </row>
    <row r="81" spans="1:14" x14ac:dyDescent="0.3">
      <c r="A81" s="8"/>
      <c r="B81" s="8"/>
      <c r="C81" s="7"/>
      <c r="D81" s="7" t="s">
        <v>12</v>
      </c>
      <c r="E81" s="6" t="s">
        <v>11</v>
      </c>
      <c r="F81" s="79">
        <f>34.7+84</f>
        <v>118.7</v>
      </c>
      <c r="G81" s="79"/>
      <c r="H81" s="79">
        <f>34.7+84</f>
        <v>118.7</v>
      </c>
      <c r="I81" s="79">
        <f>34.7+84</f>
        <v>118.7</v>
      </c>
      <c r="J81" s="383"/>
      <c r="K81" s="79">
        <f>34.7+84</f>
        <v>118.7</v>
      </c>
      <c r="L81" s="79">
        <f>34.7+84</f>
        <v>118.7</v>
      </c>
      <c r="M81" s="79"/>
      <c r="N81" s="79">
        <f>34.7+84</f>
        <v>118.7</v>
      </c>
    </row>
    <row r="82" spans="1:14" ht="26.4" x14ac:dyDescent="0.3">
      <c r="A82" s="54"/>
      <c r="B82" s="34"/>
      <c r="C82" s="35" t="s">
        <v>289</v>
      </c>
      <c r="D82" s="34"/>
      <c r="E82" s="33" t="s">
        <v>288</v>
      </c>
      <c r="F82" s="32">
        <f t="shared" ref="F82:N84" si="13">F83</f>
        <v>1573.2717299999999</v>
      </c>
      <c r="G82" s="32"/>
      <c r="H82" s="32">
        <f t="shared" si="13"/>
        <v>1573.2717299999999</v>
      </c>
      <c r="I82" s="32">
        <f t="shared" si="13"/>
        <v>4462.2887699999992</v>
      </c>
      <c r="J82" s="377"/>
      <c r="K82" s="32">
        <f t="shared" si="13"/>
        <v>4462.2887699999992</v>
      </c>
      <c r="L82" s="32">
        <f t="shared" si="13"/>
        <v>146.83519999999999</v>
      </c>
      <c r="M82" s="32"/>
      <c r="N82" s="32">
        <f t="shared" si="13"/>
        <v>146.83519999999999</v>
      </c>
    </row>
    <row r="83" spans="1:14" ht="27" x14ac:dyDescent="0.3">
      <c r="A83" s="223"/>
      <c r="B83" s="223"/>
      <c r="C83" s="223" t="s">
        <v>287</v>
      </c>
      <c r="D83" s="223"/>
      <c r="E83" s="224" t="s">
        <v>286</v>
      </c>
      <c r="F83" s="225">
        <f t="shared" si="13"/>
        <v>1573.2717299999999</v>
      </c>
      <c r="G83" s="225"/>
      <c r="H83" s="225">
        <f t="shared" si="13"/>
        <v>1573.2717299999999</v>
      </c>
      <c r="I83" s="225">
        <f t="shared" si="13"/>
        <v>4462.2887699999992</v>
      </c>
      <c r="J83" s="379"/>
      <c r="K83" s="225">
        <f t="shared" si="13"/>
        <v>4462.2887699999992</v>
      </c>
      <c r="L83" s="225">
        <f t="shared" si="13"/>
        <v>146.83519999999999</v>
      </c>
      <c r="M83" s="225"/>
      <c r="N83" s="225">
        <f t="shared" si="13"/>
        <v>146.83519999999999</v>
      </c>
    </row>
    <row r="84" spans="1:14" ht="27" x14ac:dyDescent="0.3">
      <c r="A84" s="7"/>
      <c r="B84" s="7"/>
      <c r="C84" s="7" t="s">
        <v>380</v>
      </c>
      <c r="D84" s="7"/>
      <c r="E84" s="6" t="s">
        <v>379</v>
      </c>
      <c r="F84" s="9">
        <f t="shared" si="13"/>
        <v>1573.2717299999999</v>
      </c>
      <c r="G84" s="9"/>
      <c r="H84" s="9">
        <f t="shared" si="13"/>
        <v>1573.2717299999999</v>
      </c>
      <c r="I84" s="9">
        <f t="shared" si="13"/>
        <v>4462.2887699999992</v>
      </c>
      <c r="J84" s="380"/>
      <c r="K84" s="9">
        <f t="shared" si="13"/>
        <v>4462.2887699999992</v>
      </c>
      <c r="L84" s="9">
        <f t="shared" si="13"/>
        <v>146.83519999999999</v>
      </c>
      <c r="M84" s="9"/>
      <c r="N84" s="9">
        <f t="shared" si="13"/>
        <v>146.83519999999999</v>
      </c>
    </row>
    <row r="85" spans="1:14" x14ac:dyDescent="0.3">
      <c r="A85" s="7"/>
      <c r="B85" s="7"/>
      <c r="C85" s="7"/>
      <c r="D85" s="7" t="s">
        <v>12</v>
      </c>
      <c r="E85" s="6" t="s">
        <v>11</v>
      </c>
      <c r="F85" s="9">
        <f>F86+F87</f>
        <v>1573.2717299999999</v>
      </c>
      <c r="G85" s="9"/>
      <c r="H85" s="9">
        <f>H86+H87</f>
        <v>1573.2717299999999</v>
      </c>
      <c r="I85" s="9">
        <f>I86+I87</f>
        <v>4462.2887699999992</v>
      </c>
      <c r="J85" s="380"/>
      <c r="K85" s="9">
        <f>K86+K87</f>
        <v>4462.2887699999992</v>
      </c>
      <c r="L85" s="9">
        <f>L87</f>
        <v>146.83519999999999</v>
      </c>
      <c r="M85" s="9"/>
      <c r="N85" s="9">
        <f>N87</f>
        <v>146.83519999999999</v>
      </c>
    </row>
    <row r="86" spans="1:14" x14ac:dyDescent="0.3">
      <c r="A86" s="7"/>
      <c r="B86" s="7"/>
      <c r="C86" s="7"/>
      <c r="D86" s="7"/>
      <c r="E86" s="10" t="s">
        <v>114</v>
      </c>
      <c r="F86" s="9">
        <v>1542.1069</v>
      </c>
      <c r="G86" s="9"/>
      <c r="H86" s="9">
        <v>1542.1069</v>
      </c>
      <c r="I86" s="9">
        <v>4373.0429999999997</v>
      </c>
      <c r="J86" s="380"/>
      <c r="K86" s="9">
        <v>4373.0429999999997</v>
      </c>
      <c r="L86" s="9">
        <v>0</v>
      </c>
      <c r="M86" s="9"/>
      <c r="N86" s="9">
        <v>0</v>
      </c>
    </row>
    <row r="87" spans="1:14" x14ac:dyDescent="0.3">
      <c r="A87" s="7"/>
      <c r="B87" s="7"/>
      <c r="C87" s="7"/>
      <c r="D87" s="7"/>
      <c r="E87" s="6" t="s">
        <v>106</v>
      </c>
      <c r="F87" s="9">
        <v>31.164829999999998</v>
      </c>
      <c r="G87" s="9"/>
      <c r="H87" s="9">
        <v>31.164829999999998</v>
      </c>
      <c r="I87" s="9">
        <v>89.245769999999993</v>
      </c>
      <c r="J87" s="380"/>
      <c r="K87" s="9">
        <v>89.245769999999993</v>
      </c>
      <c r="L87" s="9">
        <v>146.83519999999999</v>
      </c>
      <c r="M87" s="9"/>
      <c r="N87" s="9">
        <v>146.83519999999999</v>
      </c>
    </row>
    <row r="88" spans="1:14" x14ac:dyDescent="0.3">
      <c r="A88" s="18"/>
      <c r="B88" s="18"/>
      <c r="C88" s="18" t="s">
        <v>18</v>
      </c>
      <c r="D88" s="18"/>
      <c r="E88" s="17" t="s">
        <v>17</v>
      </c>
      <c r="F88" s="16">
        <f t="shared" ref="F88:L88" si="14">F89</f>
        <v>41444</v>
      </c>
      <c r="G88" s="16">
        <f t="shared" si="14"/>
        <v>156.1</v>
      </c>
      <c r="H88" s="16">
        <f t="shared" si="14"/>
        <v>41600.1</v>
      </c>
      <c r="I88" s="16">
        <f t="shared" si="14"/>
        <v>37491.200000000004</v>
      </c>
      <c r="J88" s="16">
        <f t="shared" si="14"/>
        <v>445.6</v>
      </c>
      <c r="K88" s="16">
        <f t="shared" si="14"/>
        <v>37936.800000000003</v>
      </c>
      <c r="L88" s="16">
        <f t="shared" si="14"/>
        <v>37491.200000000004</v>
      </c>
      <c r="M88" s="16"/>
      <c r="N88" s="16">
        <f>N89</f>
        <v>37491.200000000004</v>
      </c>
    </row>
    <row r="89" spans="1:14" ht="27" x14ac:dyDescent="0.3">
      <c r="A89" s="15"/>
      <c r="B89" s="15"/>
      <c r="C89" s="15" t="s">
        <v>16</v>
      </c>
      <c r="D89" s="15"/>
      <c r="E89" s="14" t="s">
        <v>15</v>
      </c>
      <c r="F89" s="13">
        <f t="shared" ref="F89:L89" si="15">F90+F96+F98+F100+F94+F102+F104</f>
        <v>41444</v>
      </c>
      <c r="G89" s="13">
        <f t="shared" si="15"/>
        <v>156.1</v>
      </c>
      <c r="H89" s="13">
        <f t="shared" si="15"/>
        <v>41600.1</v>
      </c>
      <c r="I89" s="13">
        <f t="shared" si="15"/>
        <v>37491.200000000004</v>
      </c>
      <c r="J89" s="13">
        <f t="shared" si="15"/>
        <v>445.6</v>
      </c>
      <c r="K89" s="13">
        <f t="shared" si="15"/>
        <v>37936.800000000003</v>
      </c>
      <c r="L89" s="13">
        <f t="shared" si="15"/>
        <v>37491.200000000004</v>
      </c>
      <c r="M89" s="13"/>
      <c r="N89" s="13">
        <f>N90+N96+N98+N100+N94+N102+N104</f>
        <v>37491.200000000004</v>
      </c>
    </row>
    <row r="90" spans="1:14" ht="27" x14ac:dyDescent="0.3">
      <c r="A90" s="8"/>
      <c r="B90" s="8"/>
      <c r="C90" s="7" t="s">
        <v>537</v>
      </c>
      <c r="D90" s="7"/>
      <c r="E90" s="64" t="s">
        <v>536</v>
      </c>
      <c r="F90" s="9">
        <f t="shared" ref="F90:L90" si="16">F91+F92+F93</f>
        <v>39270.800000000003</v>
      </c>
      <c r="G90" s="9">
        <f t="shared" si="16"/>
        <v>37.699999999999989</v>
      </c>
      <c r="H90" s="9">
        <f t="shared" si="16"/>
        <v>39308.5</v>
      </c>
      <c r="I90" s="9">
        <f t="shared" si="16"/>
        <v>36891.200000000004</v>
      </c>
      <c r="J90" s="9">
        <f t="shared" si="16"/>
        <v>445.6</v>
      </c>
      <c r="K90" s="9">
        <f t="shared" si="16"/>
        <v>37336.800000000003</v>
      </c>
      <c r="L90" s="9">
        <f t="shared" si="16"/>
        <v>36891.200000000004</v>
      </c>
      <c r="M90" s="9"/>
      <c r="N90" s="9">
        <f>N91+N92+N93</f>
        <v>36891.200000000004</v>
      </c>
    </row>
    <row r="91" spans="1:14" ht="40.200000000000003" x14ac:dyDescent="0.3">
      <c r="A91" s="8"/>
      <c r="B91" s="8"/>
      <c r="C91" s="7"/>
      <c r="D91" s="7" t="s">
        <v>2</v>
      </c>
      <c r="E91" s="6" t="s">
        <v>1</v>
      </c>
      <c r="F91" s="9">
        <f>18278.1+96.4</f>
        <v>18374.5</v>
      </c>
      <c r="G91" s="9">
        <v>-118.4</v>
      </c>
      <c r="H91" s="9">
        <f>18278.1+96.4-118.4</f>
        <v>18256.099999999999</v>
      </c>
      <c r="I91" s="9">
        <f>18983.7+100.2</f>
        <v>19083.900000000001</v>
      </c>
      <c r="J91" s="380"/>
      <c r="K91" s="9">
        <f>18983.7+100.2</f>
        <v>19083.900000000001</v>
      </c>
      <c r="L91" s="9">
        <f>18983.7+100.2</f>
        <v>19083.900000000001</v>
      </c>
      <c r="M91" s="9"/>
      <c r="N91" s="9">
        <f>18983.7+100.2</f>
        <v>19083.900000000001</v>
      </c>
    </row>
    <row r="92" spans="1:14" x14ac:dyDescent="0.3">
      <c r="A92" s="8"/>
      <c r="B92" s="8"/>
      <c r="C92" s="7"/>
      <c r="D92" s="7" t="s">
        <v>12</v>
      </c>
      <c r="E92" s="6" t="s">
        <v>11</v>
      </c>
      <c r="F92" s="9">
        <v>20468</v>
      </c>
      <c r="G92" s="9">
        <v>156.1</v>
      </c>
      <c r="H92" s="9">
        <f>17379+3089+156.1</f>
        <v>20624.099999999999</v>
      </c>
      <c r="I92" s="9">
        <v>17379</v>
      </c>
      <c r="J92" s="380">
        <v>445.6</v>
      </c>
      <c r="K92" s="9">
        <f>17379+445.6</f>
        <v>17824.599999999999</v>
      </c>
      <c r="L92" s="9">
        <v>17379</v>
      </c>
      <c r="M92" s="9"/>
      <c r="N92" s="9">
        <v>17379</v>
      </c>
    </row>
    <row r="93" spans="1:14" x14ac:dyDescent="0.3">
      <c r="A93" s="8"/>
      <c r="B93" s="8"/>
      <c r="C93" s="7"/>
      <c r="D93" s="7" t="s">
        <v>22</v>
      </c>
      <c r="E93" s="6" t="s">
        <v>21</v>
      </c>
      <c r="F93" s="9">
        <v>428.3</v>
      </c>
      <c r="G93" s="9"/>
      <c r="H93" s="9">
        <v>428.3</v>
      </c>
      <c r="I93" s="9">
        <v>428.3</v>
      </c>
      <c r="J93" s="380"/>
      <c r="K93" s="9">
        <v>428.3</v>
      </c>
      <c r="L93" s="9">
        <v>428.3</v>
      </c>
      <c r="M93" s="9"/>
      <c r="N93" s="9">
        <v>428.3</v>
      </c>
    </row>
    <row r="94" spans="1:14" x14ac:dyDescent="0.3">
      <c r="A94" s="8"/>
      <c r="B94" s="8"/>
      <c r="C94" s="55" t="s">
        <v>535</v>
      </c>
      <c r="D94" s="55"/>
      <c r="E94" s="10" t="s">
        <v>534</v>
      </c>
      <c r="F94" s="9">
        <f>F95</f>
        <v>926.6</v>
      </c>
      <c r="G94" s="9">
        <f>G95</f>
        <v>118.4</v>
      </c>
      <c r="H94" s="9">
        <f>H95</f>
        <v>1045</v>
      </c>
      <c r="I94" s="9">
        <v>0</v>
      </c>
      <c r="J94" s="380"/>
      <c r="K94" s="9">
        <v>0</v>
      </c>
      <c r="L94" s="9">
        <v>0</v>
      </c>
      <c r="M94" s="9"/>
      <c r="N94" s="9">
        <v>0</v>
      </c>
    </row>
    <row r="95" spans="1:14" x14ac:dyDescent="0.3">
      <c r="A95" s="8"/>
      <c r="B95" s="8"/>
      <c r="C95" s="55"/>
      <c r="D95" s="55" t="s">
        <v>12</v>
      </c>
      <c r="E95" s="10" t="s">
        <v>11</v>
      </c>
      <c r="F95" s="9">
        <v>926.6</v>
      </c>
      <c r="G95" s="9">
        <v>118.4</v>
      </c>
      <c r="H95" s="9">
        <f>926.6+118.4</f>
        <v>1045</v>
      </c>
      <c r="I95" s="9">
        <f>1193.9-1193.9</f>
        <v>0</v>
      </c>
      <c r="J95" s="380"/>
      <c r="K95" s="9">
        <f>1193.9-1193.9</f>
        <v>0</v>
      </c>
      <c r="L95" s="9">
        <f>1243.6-1243.6</f>
        <v>0</v>
      </c>
      <c r="M95" s="9"/>
      <c r="N95" s="9">
        <f>1243.6-1243.6</f>
        <v>0</v>
      </c>
    </row>
    <row r="96" spans="1:14" x14ac:dyDescent="0.3">
      <c r="A96" s="298"/>
      <c r="B96" s="298"/>
      <c r="C96" s="294" t="s">
        <v>846</v>
      </c>
      <c r="D96" s="294"/>
      <c r="E96" s="295" t="s">
        <v>847</v>
      </c>
      <c r="F96" s="299">
        <f>F97</f>
        <v>224.5</v>
      </c>
      <c r="G96" s="299"/>
      <c r="H96" s="299">
        <f>H97</f>
        <v>224.5</v>
      </c>
      <c r="I96" s="299">
        <f>I97</f>
        <v>0</v>
      </c>
      <c r="J96" s="380"/>
      <c r="K96" s="299">
        <f>K97</f>
        <v>0</v>
      </c>
      <c r="L96" s="299">
        <f>L97</f>
        <v>0</v>
      </c>
      <c r="M96" s="299"/>
      <c r="N96" s="299">
        <f>N97</f>
        <v>0</v>
      </c>
    </row>
    <row r="97" spans="1:14" x14ac:dyDescent="0.3">
      <c r="A97" s="298"/>
      <c r="B97" s="298"/>
      <c r="C97" s="296"/>
      <c r="D97" s="294" t="s">
        <v>22</v>
      </c>
      <c r="E97" s="297" t="s">
        <v>21</v>
      </c>
      <c r="F97" s="299">
        <v>224.5</v>
      </c>
      <c r="G97" s="299"/>
      <c r="H97" s="299">
        <f>25+163.1+36.4</f>
        <v>224.5</v>
      </c>
      <c r="I97" s="299">
        <v>0</v>
      </c>
      <c r="J97" s="380"/>
      <c r="K97" s="299">
        <v>0</v>
      </c>
      <c r="L97" s="299">
        <v>0</v>
      </c>
      <c r="M97" s="299"/>
      <c r="N97" s="299">
        <v>0</v>
      </c>
    </row>
    <row r="98" spans="1:14" ht="27" x14ac:dyDescent="0.3">
      <c r="A98" s="8"/>
      <c r="B98" s="8"/>
      <c r="C98" s="7" t="s">
        <v>43</v>
      </c>
      <c r="D98" s="7"/>
      <c r="E98" s="6" t="s">
        <v>42</v>
      </c>
      <c r="F98" s="9">
        <f>F99</f>
        <v>300</v>
      </c>
      <c r="G98" s="9"/>
      <c r="H98" s="9">
        <f>H99</f>
        <v>300</v>
      </c>
      <c r="I98" s="9">
        <f>I99</f>
        <v>300</v>
      </c>
      <c r="J98" s="380"/>
      <c r="K98" s="9">
        <f>K99</f>
        <v>300</v>
      </c>
      <c r="L98" s="9">
        <f>L99</f>
        <v>300</v>
      </c>
      <c r="M98" s="9"/>
      <c r="N98" s="9">
        <f>N99</f>
        <v>300</v>
      </c>
    </row>
    <row r="99" spans="1:14" x14ac:dyDescent="0.3">
      <c r="A99" s="8"/>
      <c r="B99" s="8"/>
      <c r="C99" s="7"/>
      <c r="D99" s="7" t="s">
        <v>12</v>
      </c>
      <c r="E99" s="6" t="s">
        <v>11</v>
      </c>
      <c r="F99" s="9">
        <v>300</v>
      </c>
      <c r="G99" s="9"/>
      <c r="H99" s="9">
        <v>300</v>
      </c>
      <c r="I99" s="9">
        <v>300</v>
      </c>
      <c r="J99" s="380"/>
      <c r="K99" s="9">
        <v>300</v>
      </c>
      <c r="L99" s="9">
        <v>300</v>
      </c>
      <c r="M99" s="9"/>
      <c r="N99" s="9">
        <v>300</v>
      </c>
    </row>
    <row r="100" spans="1:14" x14ac:dyDescent="0.3">
      <c r="A100" s="8"/>
      <c r="B100" s="8"/>
      <c r="C100" s="7" t="s">
        <v>533</v>
      </c>
      <c r="D100" s="7"/>
      <c r="E100" s="6" t="s">
        <v>532</v>
      </c>
      <c r="F100" s="5">
        <f>F101</f>
        <v>310</v>
      </c>
      <c r="G100" s="5"/>
      <c r="H100" s="5">
        <f>H101</f>
        <v>310</v>
      </c>
      <c r="I100" s="5">
        <f>I101</f>
        <v>0</v>
      </c>
      <c r="J100" s="382"/>
      <c r="K100" s="5">
        <f>K101</f>
        <v>0</v>
      </c>
      <c r="L100" s="5">
        <f>L101</f>
        <v>0</v>
      </c>
      <c r="M100" s="5"/>
      <c r="N100" s="5">
        <f>N101</f>
        <v>0</v>
      </c>
    </row>
    <row r="101" spans="1:14" x14ac:dyDescent="0.3">
      <c r="A101" s="8"/>
      <c r="B101" s="8"/>
      <c r="C101" s="7"/>
      <c r="D101" s="7" t="s">
        <v>22</v>
      </c>
      <c r="E101" s="6" t="s">
        <v>21</v>
      </c>
      <c r="F101" s="5">
        <v>310</v>
      </c>
      <c r="G101" s="5"/>
      <c r="H101" s="5">
        <v>310</v>
      </c>
      <c r="I101" s="5">
        <v>0</v>
      </c>
      <c r="J101" s="382"/>
      <c r="K101" s="5">
        <v>0</v>
      </c>
      <c r="L101" s="5">
        <v>0</v>
      </c>
      <c r="M101" s="5"/>
      <c r="N101" s="5">
        <v>0</v>
      </c>
    </row>
    <row r="102" spans="1:14" ht="27" x14ac:dyDescent="0.3">
      <c r="A102" s="8"/>
      <c r="B102" s="8"/>
      <c r="C102" s="7" t="s">
        <v>632</v>
      </c>
      <c r="D102" s="7"/>
      <c r="E102" s="116" t="s">
        <v>538</v>
      </c>
      <c r="F102" s="5">
        <f>F103</f>
        <v>300</v>
      </c>
      <c r="G102" s="5"/>
      <c r="H102" s="5">
        <f>H103</f>
        <v>300</v>
      </c>
      <c r="I102" s="5">
        <f>I103</f>
        <v>300</v>
      </c>
      <c r="J102" s="382"/>
      <c r="K102" s="5">
        <f>K103</f>
        <v>300</v>
      </c>
      <c r="L102" s="5">
        <f>L103</f>
        <v>300</v>
      </c>
      <c r="M102" s="5"/>
      <c r="N102" s="5">
        <f>N103</f>
        <v>300</v>
      </c>
    </row>
    <row r="103" spans="1:14" ht="27" x14ac:dyDescent="0.3">
      <c r="A103" s="8"/>
      <c r="B103" s="8"/>
      <c r="C103" s="7"/>
      <c r="D103" s="7" t="s">
        <v>57</v>
      </c>
      <c r="E103" s="6" t="s">
        <v>56</v>
      </c>
      <c r="F103" s="5">
        <v>300</v>
      </c>
      <c r="G103" s="5"/>
      <c r="H103" s="5">
        <v>300</v>
      </c>
      <c r="I103" s="5">
        <v>300</v>
      </c>
      <c r="J103" s="382"/>
      <c r="K103" s="5">
        <v>300</v>
      </c>
      <c r="L103" s="5">
        <v>300</v>
      </c>
      <c r="M103" s="5"/>
      <c r="N103" s="5">
        <v>300</v>
      </c>
    </row>
    <row r="104" spans="1:14" ht="26.4" x14ac:dyDescent="0.3">
      <c r="A104" s="8"/>
      <c r="B104" s="8"/>
      <c r="C104" s="75" t="s">
        <v>818</v>
      </c>
      <c r="D104" s="55"/>
      <c r="E104" s="100" t="s">
        <v>819</v>
      </c>
      <c r="F104" s="5">
        <f>F105</f>
        <v>112.1</v>
      </c>
      <c r="G104" s="5"/>
      <c r="H104" s="5">
        <f>H105</f>
        <v>112.1</v>
      </c>
      <c r="I104" s="5">
        <v>0</v>
      </c>
      <c r="J104" s="382"/>
      <c r="K104" s="5">
        <v>0</v>
      </c>
      <c r="L104" s="5">
        <v>0</v>
      </c>
      <c r="M104" s="5"/>
      <c r="N104" s="5">
        <v>0</v>
      </c>
    </row>
    <row r="105" spans="1:14" ht="26.4" x14ac:dyDescent="0.3">
      <c r="A105" s="8"/>
      <c r="B105" s="8"/>
      <c r="C105" s="23"/>
      <c r="D105" s="7" t="s">
        <v>57</v>
      </c>
      <c r="E105" s="10" t="s">
        <v>56</v>
      </c>
      <c r="F105" s="5">
        <v>112.1</v>
      </c>
      <c r="G105" s="5"/>
      <c r="H105" s="5">
        <v>112.1</v>
      </c>
      <c r="I105" s="5">
        <v>0</v>
      </c>
      <c r="J105" s="382"/>
      <c r="K105" s="5">
        <v>0</v>
      </c>
      <c r="L105" s="5">
        <v>0</v>
      </c>
      <c r="M105" s="5"/>
      <c r="N105" s="5">
        <v>0</v>
      </c>
    </row>
    <row r="106" spans="1:14" x14ac:dyDescent="0.3">
      <c r="A106" s="21"/>
      <c r="B106" s="23" t="s">
        <v>531</v>
      </c>
      <c r="C106" s="22"/>
      <c r="D106" s="23"/>
      <c r="E106" s="20" t="s">
        <v>530</v>
      </c>
      <c r="F106" s="19">
        <f t="shared" ref="F106:N111" si="17">F107</f>
        <v>1805.3</v>
      </c>
      <c r="G106" s="19"/>
      <c r="H106" s="19">
        <f t="shared" si="17"/>
        <v>1805.3</v>
      </c>
      <c r="I106" s="19">
        <f t="shared" si="17"/>
        <v>1979.3</v>
      </c>
      <c r="J106" s="386"/>
      <c r="K106" s="19">
        <f t="shared" si="17"/>
        <v>1979.3</v>
      </c>
      <c r="L106" s="19">
        <f t="shared" si="17"/>
        <v>2051.2999999999997</v>
      </c>
      <c r="M106" s="19"/>
      <c r="N106" s="19">
        <f t="shared" si="17"/>
        <v>2051.2999999999997</v>
      </c>
    </row>
    <row r="107" spans="1:14" x14ac:dyDescent="0.3">
      <c r="A107" s="21"/>
      <c r="B107" s="23" t="s">
        <v>529</v>
      </c>
      <c r="C107" s="22"/>
      <c r="D107" s="23"/>
      <c r="E107" s="20" t="s">
        <v>528</v>
      </c>
      <c r="F107" s="19">
        <f t="shared" si="17"/>
        <v>1805.3</v>
      </c>
      <c r="G107" s="19"/>
      <c r="H107" s="19">
        <f t="shared" si="17"/>
        <v>1805.3</v>
      </c>
      <c r="I107" s="19">
        <f t="shared" si="17"/>
        <v>1979.3</v>
      </c>
      <c r="J107" s="386"/>
      <c r="K107" s="19">
        <f t="shared" si="17"/>
        <v>1979.3</v>
      </c>
      <c r="L107" s="19">
        <f t="shared" si="17"/>
        <v>2051.2999999999997</v>
      </c>
      <c r="M107" s="19"/>
      <c r="N107" s="19">
        <f t="shared" si="17"/>
        <v>2051.2999999999997</v>
      </c>
    </row>
    <row r="108" spans="1:14" x14ac:dyDescent="0.3">
      <c r="A108" s="21"/>
      <c r="B108" s="23"/>
      <c r="C108" s="119" t="s">
        <v>36</v>
      </c>
      <c r="D108" s="119"/>
      <c r="E108" s="118" t="s">
        <v>35</v>
      </c>
      <c r="F108" s="19">
        <f t="shared" si="17"/>
        <v>1805.3</v>
      </c>
      <c r="G108" s="19"/>
      <c r="H108" s="19">
        <f t="shared" si="17"/>
        <v>1805.3</v>
      </c>
      <c r="I108" s="19">
        <f t="shared" si="17"/>
        <v>1979.3</v>
      </c>
      <c r="J108" s="386"/>
      <c r="K108" s="19">
        <f t="shared" si="17"/>
        <v>1979.3</v>
      </c>
      <c r="L108" s="19">
        <f t="shared" si="17"/>
        <v>2051.2999999999997</v>
      </c>
      <c r="M108" s="19"/>
      <c r="N108" s="19">
        <f t="shared" si="17"/>
        <v>2051.2999999999997</v>
      </c>
    </row>
    <row r="109" spans="1:14" ht="26.4" x14ac:dyDescent="0.3">
      <c r="A109" s="54"/>
      <c r="B109" s="34"/>
      <c r="C109" s="35" t="s">
        <v>34</v>
      </c>
      <c r="D109" s="34"/>
      <c r="E109" s="33" t="s">
        <v>103</v>
      </c>
      <c r="F109" s="32">
        <f t="shared" si="17"/>
        <v>1805.3</v>
      </c>
      <c r="G109" s="32"/>
      <c r="H109" s="32">
        <f t="shared" si="17"/>
        <v>1805.3</v>
      </c>
      <c r="I109" s="32">
        <f t="shared" si="17"/>
        <v>1979.3</v>
      </c>
      <c r="J109" s="377"/>
      <c r="K109" s="32">
        <f t="shared" si="17"/>
        <v>1979.3</v>
      </c>
      <c r="L109" s="32">
        <f t="shared" si="17"/>
        <v>2051.2999999999997</v>
      </c>
      <c r="M109" s="32"/>
      <c r="N109" s="32">
        <f t="shared" si="17"/>
        <v>2051.2999999999997</v>
      </c>
    </row>
    <row r="110" spans="1:14" ht="39.6" x14ac:dyDescent="0.3">
      <c r="A110" s="70"/>
      <c r="B110" s="68"/>
      <c r="C110" s="69" t="s">
        <v>527</v>
      </c>
      <c r="D110" s="68"/>
      <c r="E110" s="67" t="s">
        <v>526</v>
      </c>
      <c r="F110" s="66">
        <f t="shared" si="17"/>
        <v>1805.3</v>
      </c>
      <c r="G110" s="66"/>
      <c r="H110" s="66">
        <f t="shared" si="17"/>
        <v>1805.3</v>
      </c>
      <c r="I110" s="66">
        <f t="shared" si="17"/>
        <v>1979.3</v>
      </c>
      <c r="J110" s="387"/>
      <c r="K110" s="66">
        <f t="shared" si="17"/>
        <v>1979.3</v>
      </c>
      <c r="L110" s="66">
        <f t="shared" si="17"/>
        <v>2051.2999999999997</v>
      </c>
      <c r="M110" s="66"/>
      <c r="N110" s="66">
        <f t="shared" si="17"/>
        <v>2051.2999999999997</v>
      </c>
    </row>
    <row r="111" spans="1:14" ht="26.4" x14ac:dyDescent="0.3">
      <c r="A111" s="240"/>
      <c r="B111" s="228"/>
      <c r="C111" s="233" t="s">
        <v>525</v>
      </c>
      <c r="D111" s="228"/>
      <c r="E111" s="241" t="s">
        <v>524</v>
      </c>
      <c r="F111" s="230">
        <f t="shared" si="17"/>
        <v>1805.3</v>
      </c>
      <c r="G111" s="230"/>
      <c r="H111" s="230">
        <f t="shared" si="17"/>
        <v>1805.3</v>
      </c>
      <c r="I111" s="230">
        <f t="shared" si="17"/>
        <v>1979.3</v>
      </c>
      <c r="J111" s="388"/>
      <c r="K111" s="230">
        <f t="shared" si="17"/>
        <v>1979.3</v>
      </c>
      <c r="L111" s="230">
        <f t="shared" si="17"/>
        <v>2051.2999999999997</v>
      </c>
      <c r="M111" s="230"/>
      <c r="N111" s="230">
        <f t="shared" si="17"/>
        <v>2051.2999999999997</v>
      </c>
    </row>
    <row r="112" spans="1:14" ht="27" x14ac:dyDescent="0.3">
      <c r="A112" s="7"/>
      <c r="B112" s="7"/>
      <c r="C112" s="7" t="s">
        <v>523</v>
      </c>
      <c r="D112" s="7"/>
      <c r="E112" s="6" t="s">
        <v>914</v>
      </c>
      <c r="F112" s="79">
        <f>SUM(F113+F114)</f>
        <v>1805.3</v>
      </c>
      <c r="G112" s="79"/>
      <c r="H112" s="79">
        <f>SUM(H113+H114)</f>
        <v>1805.3</v>
      </c>
      <c r="I112" s="79">
        <f>SUM(I113+I114)</f>
        <v>1979.3</v>
      </c>
      <c r="J112" s="383"/>
      <c r="K112" s="79">
        <f>SUM(K113+K114)</f>
        <v>1979.3</v>
      </c>
      <c r="L112" s="79">
        <f>SUM(L113+L114)</f>
        <v>2051.2999999999997</v>
      </c>
      <c r="M112" s="79"/>
      <c r="N112" s="79">
        <f>SUM(N113+N114)</f>
        <v>2051.2999999999997</v>
      </c>
    </row>
    <row r="113" spans="1:14" ht="40.200000000000003" x14ac:dyDescent="0.3">
      <c r="A113" s="7"/>
      <c r="B113" s="7"/>
      <c r="C113" s="7"/>
      <c r="D113" s="7" t="s">
        <v>2</v>
      </c>
      <c r="E113" s="6" t="s">
        <v>1</v>
      </c>
      <c r="F113" s="79">
        <v>1719.8</v>
      </c>
      <c r="G113" s="79"/>
      <c r="H113" s="79">
        <v>1719.8</v>
      </c>
      <c r="I113" s="79">
        <v>1786.1</v>
      </c>
      <c r="J113" s="383"/>
      <c r="K113" s="79">
        <v>1786.1</v>
      </c>
      <c r="L113" s="79">
        <v>1786.1</v>
      </c>
      <c r="M113" s="79"/>
      <c r="N113" s="79">
        <v>1786.1</v>
      </c>
    </row>
    <row r="114" spans="1:14" x14ac:dyDescent="0.3">
      <c r="A114" s="7"/>
      <c r="B114" s="7"/>
      <c r="C114" s="7"/>
      <c r="D114" s="7" t="s">
        <v>12</v>
      </c>
      <c r="E114" s="6" t="s">
        <v>11</v>
      </c>
      <c r="F114" s="281">
        <f>131.1-45.6</f>
        <v>85.5</v>
      </c>
      <c r="G114" s="281"/>
      <c r="H114" s="281">
        <f>131.1-45.6</f>
        <v>85.5</v>
      </c>
      <c r="I114" s="281">
        <f>234-40.8</f>
        <v>193.2</v>
      </c>
      <c r="J114" s="389"/>
      <c r="K114" s="281">
        <f>234-40.8</f>
        <v>193.2</v>
      </c>
      <c r="L114" s="281">
        <f>234+31.2</f>
        <v>265.2</v>
      </c>
      <c r="M114" s="281"/>
      <c r="N114" s="281">
        <f>234+31.2</f>
        <v>265.2</v>
      </c>
    </row>
    <row r="115" spans="1:14" x14ac:dyDescent="0.3">
      <c r="A115" s="21"/>
      <c r="B115" s="23" t="s">
        <v>522</v>
      </c>
      <c r="C115" s="22"/>
      <c r="D115" s="21"/>
      <c r="E115" s="20" t="s">
        <v>521</v>
      </c>
      <c r="F115" s="19">
        <f t="shared" ref="F115:M115" si="18">F116+F129+F140</f>
        <v>26443.200000000001</v>
      </c>
      <c r="G115" s="19">
        <f t="shared" si="18"/>
        <v>779.8</v>
      </c>
      <c r="H115" s="19">
        <f t="shared" si="18"/>
        <v>27223</v>
      </c>
      <c r="I115" s="19">
        <f t="shared" si="18"/>
        <v>26281.600000000002</v>
      </c>
      <c r="J115" s="19">
        <f t="shared" si="18"/>
        <v>1378.4</v>
      </c>
      <c r="K115" s="19">
        <f t="shared" si="18"/>
        <v>27660.000000000004</v>
      </c>
      <c r="L115" s="19">
        <f t="shared" si="18"/>
        <v>33765.1</v>
      </c>
      <c r="M115" s="19">
        <f t="shared" si="18"/>
        <v>1378.4</v>
      </c>
      <c r="N115" s="19">
        <f>N116+N129+N140</f>
        <v>35143.5</v>
      </c>
    </row>
    <row r="116" spans="1:14" ht="26.4" x14ac:dyDescent="0.3">
      <c r="A116" s="21"/>
      <c r="B116" s="23" t="s">
        <v>520</v>
      </c>
      <c r="C116" s="22"/>
      <c r="D116" s="23"/>
      <c r="E116" s="28" t="s">
        <v>519</v>
      </c>
      <c r="F116" s="19">
        <f t="shared" ref="F116:N118" si="19">F117</f>
        <v>20744.5</v>
      </c>
      <c r="G116" s="19">
        <f t="shared" si="19"/>
        <v>779.8</v>
      </c>
      <c r="H116" s="19">
        <f t="shared" si="19"/>
        <v>21524.3</v>
      </c>
      <c r="I116" s="19">
        <f t="shared" si="19"/>
        <v>21413.4</v>
      </c>
      <c r="J116" s="19">
        <f t="shared" si="19"/>
        <v>1378.4</v>
      </c>
      <c r="K116" s="19">
        <f t="shared" si="19"/>
        <v>22791.800000000003</v>
      </c>
      <c r="L116" s="19">
        <f t="shared" si="19"/>
        <v>21413.4</v>
      </c>
      <c r="M116" s="19">
        <f t="shared" si="19"/>
        <v>1378.4</v>
      </c>
      <c r="N116" s="19">
        <f t="shared" si="19"/>
        <v>22791.800000000003</v>
      </c>
    </row>
    <row r="117" spans="1:14" x14ac:dyDescent="0.3">
      <c r="A117" s="21"/>
      <c r="B117" s="23"/>
      <c r="C117" s="22" t="s">
        <v>36</v>
      </c>
      <c r="D117" s="21"/>
      <c r="E117" s="28" t="s">
        <v>35</v>
      </c>
      <c r="F117" s="19">
        <f t="shared" si="19"/>
        <v>20744.5</v>
      </c>
      <c r="G117" s="19">
        <f t="shared" si="19"/>
        <v>779.8</v>
      </c>
      <c r="H117" s="19">
        <f t="shared" si="19"/>
        <v>21524.3</v>
      </c>
      <c r="I117" s="19">
        <f t="shared" si="19"/>
        <v>21413.4</v>
      </c>
      <c r="J117" s="19">
        <f t="shared" si="19"/>
        <v>1378.4</v>
      </c>
      <c r="K117" s="19">
        <f t="shared" si="19"/>
        <v>22791.800000000003</v>
      </c>
      <c r="L117" s="19">
        <f t="shared" si="19"/>
        <v>21413.4</v>
      </c>
      <c r="M117" s="19">
        <f t="shared" si="19"/>
        <v>1378.4</v>
      </c>
      <c r="N117" s="19">
        <f t="shared" si="19"/>
        <v>22791.800000000003</v>
      </c>
    </row>
    <row r="118" spans="1:14" ht="39.6" x14ac:dyDescent="0.3">
      <c r="A118" s="54"/>
      <c r="B118" s="34"/>
      <c r="C118" s="35" t="s">
        <v>482</v>
      </c>
      <c r="D118" s="34"/>
      <c r="E118" s="33" t="s">
        <v>518</v>
      </c>
      <c r="F118" s="32">
        <f t="shared" si="19"/>
        <v>20744.5</v>
      </c>
      <c r="G118" s="32">
        <f t="shared" si="19"/>
        <v>779.8</v>
      </c>
      <c r="H118" s="32">
        <f t="shared" si="19"/>
        <v>21524.3</v>
      </c>
      <c r="I118" s="32">
        <f t="shared" si="19"/>
        <v>21413.4</v>
      </c>
      <c r="J118" s="32">
        <f t="shared" si="19"/>
        <v>1378.4</v>
      </c>
      <c r="K118" s="32">
        <f t="shared" si="19"/>
        <v>22791.800000000003</v>
      </c>
      <c r="L118" s="32">
        <f t="shared" si="19"/>
        <v>21413.4</v>
      </c>
      <c r="M118" s="32">
        <f t="shared" si="19"/>
        <v>1378.4</v>
      </c>
      <c r="N118" s="32">
        <f t="shared" si="19"/>
        <v>22791.800000000003</v>
      </c>
    </row>
    <row r="119" spans="1:14" ht="27" x14ac:dyDescent="0.3">
      <c r="A119" s="223"/>
      <c r="B119" s="223"/>
      <c r="C119" s="223" t="s">
        <v>517</v>
      </c>
      <c r="D119" s="223"/>
      <c r="E119" s="236" t="s">
        <v>516</v>
      </c>
      <c r="F119" s="225">
        <f t="shared" ref="F119:M119" si="20">F120+F122+F126+F124</f>
        <v>20744.5</v>
      </c>
      <c r="G119" s="225">
        <f t="shared" si="20"/>
        <v>779.8</v>
      </c>
      <c r="H119" s="225">
        <f t="shared" si="20"/>
        <v>21524.3</v>
      </c>
      <c r="I119" s="225">
        <f t="shared" si="20"/>
        <v>21413.4</v>
      </c>
      <c r="J119" s="225">
        <f t="shared" si="20"/>
        <v>1378.4</v>
      </c>
      <c r="K119" s="225">
        <f t="shared" si="20"/>
        <v>22791.800000000003</v>
      </c>
      <c r="L119" s="225">
        <f t="shared" si="20"/>
        <v>21413.4</v>
      </c>
      <c r="M119" s="225">
        <f t="shared" si="20"/>
        <v>1378.4</v>
      </c>
      <c r="N119" s="225">
        <f>N120+N122+N126+N124</f>
        <v>22791.800000000003</v>
      </c>
    </row>
    <row r="120" spans="1:14" x14ac:dyDescent="0.3">
      <c r="A120" s="7"/>
      <c r="B120" s="7"/>
      <c r="C120" s="7" t="s">
        <v>515</v>
      </c>
      <c r="D120" s="7"/>
      <c r="E120" s="10" t="s">
        <v>514</v>
      </c>
      <c r="F120" s="9">
        <f>SUM(F121)</f>
        <v>36.799999999999997</v>
      </c>
      <c r="G120" s="9"/>
      <c r="H120" s="9">
        <f>SUM(H121)</f>
        <v>36.799999999999997</v>
      </c>
      <c r="I120" s="9">
        <f>SUM(I121)</f>
        <v>36.799999999999997</v>
      </c>
      <c r="J120" s="380"/>
      <c r="K120" s="9">
        <f>SUM(K121)</f>
        <v>36.799999999999997</v>
      </c>
      <c r="L120" s="9">
        <f>SUM(L121)</f>
        <v>36.799999999999997</v>
      </c>
      <c r="M120" s="9"/>
      <c r="N120" s="9">
        <f>SUM(N121)</f>
        <v>36.799999999999997</v>
      </c>
    </row>
    <row r="121" spans="1:14" x14ac:dyDescent="0.3">
      <c r="A121" s="7"/>
      <c r="B121" s="7"/>
      <c r="C121" s="7"/>
      <c r="D121" s="7" t="s">
        <v>12</v>
      </c>
      <c r="E121" s="6" t="s">
        <v>11</v>
      </c>
      <c r="F121" s="9">
        <v>36.799999999999997</v>
      </c>
      <c r="G121" s="9"/>
      <c r="H121" s="9">
        <v>36.799999999999997</v>
      </c>
      <c r="I121" s="9">
        <v>36.799999999999997</v>
      </c>
      <c r="J121" s="380"/>
      <c r="K121" s="9">
        <v>36.799999999999997</v>
      </c>
      <c r="L121" s="9">
        <v>36.799999999999997</v>
      </c>
      <c r="M121" s="9"/>
      <c r="N121" s="9">
        <v>36.799999999999997</v>
      </c>
    </row>
    <row r="122" spans="1:14" ht="40.200000000000003" x14ac:dyDescent="0.3">
      <c r="A122" s="7"/>
      <c r="B122" s="7"/>
      <c r="C122" s="7" t="s">
        <v>513</v>
      </c>
      <c r="D122" s="7"/>
      <c r="E122" s="6" t="s">
        <v>600</v>
      </c>
      <c r="F122" s="9">
        <f>F123</f>
        <v>154.30000000000001</v>
      </c>
      <c r="G122" s="9"/>
      <c r="H122" s="9">
        <f>H123</f>
        <v>154.30000000000001</v>
      </c>
      <c r="I122" s="9">
        <f>I123</f>
        <v>115.5</v>
      </c>
      <c r="J122" s="380"/>
      <c r="K122" s="9">
        <f>K123</f>
        <v>115.5</v>
      </c>
      <c r="L122" s="9">
        <f>L123</f>
        <v>115.5</v>
      </c>
      <c r="M122" s="9"/>
      <c r="N122" s="9">
        <f>N123</f>
        <v>115.5</v>
      </c>
    </row>
    <row r="123" spans="1:14" x14ac:dyDescent="0.3">
      <c r="A123" s="7"/>
      <c r="B123" s="7"/>
      <c r="C123" s="7"/>
      <c r="D123" s="7" t="s">
        <v>12</v>
      </c>
      <c r="E123" s="6" t="s">
        <v>11</v>
      </c>
      <c r="F123" s="9">
        <v>154.30000000000001</v>
      </c>
      <c r="G123" s="9"/>
      <c r="H123" s="9">
        <v>154.30000000000001</v>
      </c>
      <c r="I123" s="9">
        <v>115.5</v>
      </c>
      <c r="J123" s="380"/>
      <c r="K123" s="9">
        <v>115.5</v>
      </c>
      <c r="L123" s="9">
        <v>115.5</v>
      </c>
      <c r="M123" s="9"/>
      <c r="N123" s="9">
        <v>115.5</v>
      </c>
    </row>
    <row r="124" spans="1:14" ht="27" x14ac:dyDescent="0.3">
      <c r="A124" s="7"/>
      <c r="B124" s="7"/>
      <c r="C124" s="7" t="s">
        <v>601</v>
      </c>
      <c r="D124" s="7"/>
      <c r="E124" s="6" t="s">
        <v>602</v>
      </c>
      <c r="F124" s="9">
        <f>F125</f>
        <v>618.9</v>
      </c>
      <c r="G124" s="9"/>
      <c r="H124" s="9">
        <f>H125</f>
        <v>618.9</v>
      </c>
      <c r="I124" s="9">
        <f>I125</f>
        <v>618.9</v>
      </c>
      <c r="J124" s="380"/>
      <c r="K124" s="9">
        <f>K125</f>
        <v>618.9</v>
      </c>
      <c r="L124" s="9">
        <f>L125</f>
        <v>618.9</v>
      </c>
      <c r="M124" s="9"/>
      <c r="N124" s="9">
        <f>N125</f>
        <v>618.9</v>
      </c>
    </row>
    <row r="125" spans="1:14" x14ac:dyDescent="0.3">
      <c r="A125" s="7"/>
      <c r="B125" s="7"/>
      <c r="C125" s="7"/>
      <c r="D125" s="7" t="s">
        <v>12</v>
      </c>
      <c r="E125" s="6" t="s">
        <v>11</v>
      </c>
      <c r="F125" s="9">
        <v>618.9</v>
      </c>
      <c r="G125" s="9"/>
      <c r="H125" s="9">
        <v>618.9</v>
      </c>
      <c r="I125" s="9">
        <v>618.9</v>
      </c>
      <c r="J125" s="380"/>
      <c r="K125" s="9">
        <v>618.9</v>
      </c>
      <c r="L125" s="9">
        <v>618.9</v>
      </c>
      <c r="M125" s="9"/>
      <c r="N125" s="9">
        <v>618.9</v>
      </c>
    </row>
    <row r="126" spans="1:14" x14ac:dyDescent="0.3">
      <c r="A126" s="7"/>
      <c r="B126" s="7"/>
      <c r="C126" s="7" t="s">
        <v>512</v>
      </c>
      <c r="D126" s="7"/>
      <c r="E126" s="115" t="s">
        <v>511</v>
      </c>
      <c r="F126" s="9">
        <f t="shared" ref="F126:M126" si="21">F127+F128</f>
        <v>19934.5</v>
      </c>
      <c r="G126" s="9">
        <f t="shared" si="21"/>
        <v>779.8</v>
      </c>
      <c r="H126" s="9">
        <f t="shared" si="21"/>
        <v>20714.3</v>
      </c>
      <c r="I126" s="9">
        <f t="shared" si="21"/>
        <v>20642.2</v>
      </c>
      <c r="J126" s="9">
        <f t="shared" si="21"/>
        <v>1378.4</v>
      </c>
      <c r="K126" s="9">
        <f t="shared" si="21"/>
        <v>22020.600000000002</v>
      </c>
      <c r="L126" s="9">
        <f t="shared" si="21"/>
        <v>20642.2</v>
      </c>
      <c r="M126" s="9">
        <f t="shared" si="21"/>
        <v>1378.4</v>
      </c>
      <c r="N126" s="9">
        <f>N127+N128</f>
        <v>22020.600000000002</v>
      </c>
    </row>
    <row r="127" spans="1:14" ht="40.200000000000003" x14ac:dyDescent="0.3">
      <c r="A127" s="7"/>
      <c r="B127" s="7"/>
      <c r="C127" s="7"/>
      <c r="D127" s="7" t="s">
        <v>2</v>
      </c>
      <c r="E127" s="6" t="s">
        <v>1</v>
      </c>
      <c r="F127" s="282">
        <f>18078.8+253.7</f>
        <v>18332.5</v>
      </c>
      <c r="G127" s="282">
        <v>779.8</v>
      </c>
      <c r="H127" s="282">
        <f>18078.8+253.7+779.8</f>
        <v>19112.3</v>
      </c>
      <c r="I127" s="282">
        <f>18776.3+263.9</f>
        <v>19040.2</v>
      </c>
      <c r="J127" s="392">
        <v>1378.4</v>
      </c>
      <c r="K127" s="282">
        <f>18776.3+263.9+1378.4</f>
        <v>20418.600000000002</v>
      </c>
      <c r="L127" s="282">
        <f>18776.3+263.9</f>
        <v>19040.2</v>
      </c>
      <c r="M127" s="282">
        <v>1378.4</v>
      </c>
      <c r="N127" s="282">
        <f>18776.3+263.9+1378.4</f>
        <v>20418.600000000002</v>
      </c>
    </row>
    <row r="128" spans="1:14" x14ac:dyDescent="0.3">
      <c r="A128" s="7"/>
      <c r="B128" s="7"/>
      <c r="C128" s="7"/>
      <c r="D128" s="7" t="s">
        <v>12</v>
      </c>
      <c r="E128" s="6" t="s">
        <v>11</v>
      </c>
      <c r="F128" s="283">
        <v>1602</v>
      </c>
      <c r="G128" s="283"/>
      <c r="H128" s="283">
        <v>1602</v>
      </c>
      <c r="I128" s="283">
        <v>1602</v>
      </c>
      <c r="J128" s="393"/>
      <c r="K128" s="283">
        <v>1602</v>
      </c>
      <c r="L128" s="283">
        <v>1602</v>
      </c>
      <c r="M128" s="283"/>
      <c r="N128" s="283">
        <v>1602</v>
      </c>
    </row>
    <row r="129" spans="1:14" x14ac:dyDescent="0.3">
      <c r="A129" s="7"/>
      <c r="B129" s="23" t="s">
        <v>510</v>
      </c>
      <c r="C129" s="22"/>
      <c r="D129" s="23"/>
      <c r="E129" s="20" t="s">
        <v>509</v>
      </c>
      <c r="F129" s="27">
        <f t="shared" ref="F129:N131" si="22">F130</f>
        <v>4616.2</v>
      </c>
      <c r="G129" s="27"/>
      <c r="H129" s="27">
        <f t="shared" si="22"/>
        <v>4616.2</v>
      </c>
      <c r="I129" s="27">
        <f t="shared" si="22"/>
        <v>3997</v>
      </c>
      <c r="J129" s="381"/>
      <c r="K129" s="27">
        <f t="shared" si="22"/>
        <v>3997</v>
      </c>
      <c r="L129" s="27">
        <f t="shared" si="22"/>
        <v>11722.5</v>
      </c>
      <c r="M129" s="27"/>
      <c r="N129" s="27">
        <f t="shared" si="22"/>
        <v>11722.5</v>
      </c>
    </row>
    <row r="130" spans="1:14" x14ac:dyDescent="0.3">
      <c r="A130" s="7"/>
      <c r="B130" s="55"/>
      <c r="C130" s="22" t="s">
        <v>36</v>
      </c>
      <c r="D130" s="21"/>
      <c r="E130" s="28" t="s">
        <v>178</v>
      </c>
      <c r="F130" s="27">
        <f t="shared" si="22"/>
        <v>4616.2</v>
      </c>
      <c r="G130" s="27"/>
      <c r="H130" s="27">
        <f t="shared" si="22"/>
        <v>4616.2</v>
      </c>
      <c r="I130" s="27">
        <f t="shared" si="22"/>
        <v>3997</v>
      </c>
      <c r="J130" s="381"/>
      <c r="K130" s="27">
        <f t="shared" si="22"/>
        <v>3997</v>
      </c>
      <c r="L130" s="27">
        <f t="shared" si="22"/>
        <v>11722.5</v>
      </c>
      <c r="M130" s="27"/>
      <c r="N130" s="27">
        <f t="shared" si="22"/>
        <v>11722.5</v>
      </c>
    </row>
    <row r="131" spans="1:14" ht="39.6" x14ac:dyDescent="0.3">
      <c r="A131" s="34"/>
      <c r="B131" s="34"/>
      <c r="C131" s="35" t="s">
        <v>482</v>
      </c>
      <c r="D131" s="34"/>
      <c r="E131" s="33" t="s">
        <v>481</v>
      </c>
      <c r="F131" s="32">
        <f t="shared" si="22"/>
        <v>4616.2</v>
      </c>
      <c r="G131" s="32"/>
      <c r="H131" s="32">
        <f t="shared" si="22"/>
        <v>4616.2</v>
      </c>
      <c r="I131" s="32">
        <f t="shared" si="22"/>
        <v>3997</v>
      </c>
      <c r="J131" s="377"/>
      <c r="K131" s="32">
        <f t="shared" si="22"/>
        <v>3997</v>
      </c>
      <c r="L131" s="32">
        <f t="shared" si="22"/>
        <v>11722.5</v>
      </c>
      <c r="M131" s="32"/>
      <c r="N131" s="32">
        <f t="shared" si="22"/>
        <v>11722.5</v>
      </c>
    </row>
    <row r="132" spans="1:14" ht="27" x14ac:dyDescent="0.3">
      <c r="A132" s="223"/>
      <c r="B132" s="223"/>
      <c r="C132" s="223" t="s">
        <v>508</v>
      </c>
      <c r="D132" s="223"/>
      <c r="E132" s="236" t="s">
        <v>507</v>
      </c>
      <c r="F132" s="225">
        <f>F133+F135+F138</f>
        <v>4616.2</v>
      </c>
      <c r="G132" s="225"/>
      <c r="H132" s="225">
        <f>H133+H135+H138</f>
        <v>4616.2</v>
      </c>
      <c r="I132" s="225">
        <f>I133+I135+I138</f>
        <v>3997</v>
      </c>
      <c r="J132" s="379"/>
      <c r="K132" s="225">
        <f>K133+K135+K138</f>
        <v>3997</v>
      </c>
      <c r="L132" s="225">
        <f>L133+L135+L138</f>
        <v>11722.5</v>
      </c>
      <c r="M132" s="225"/>
      <c r="N132" s="225">
        <f>N133+N135+N138</f>
        <v>11722.5</v>
      </c>
    </row>
    <row r="133" spans="1:14" x14ac:dyDescent="0.3">
      <c r="A133" s="7"/>
      <c r="B133" s="7"/>
      <c r="C133" s="7" t="s">
        <v>506</v>
      </c>
      <c r="D133" s="7"/>
      <c r="E133" s="102" t="s">
        <v>505</v>
      </c>
      <c r="F133" s="9">
        <f>F134</f>
        <v>115.9</v>
      </c>
      <c r="G133" s="9"/>
      <c r="H133" s="9">
        <f>H134</f>
        <v>115.9</v>
      </c>
      <c r="I133" s="9">
        <f>I134</f>
        <v>115.9</v>
      </c>
      <c r="J133" s="380"/>
      <c r="K133" s="9">
        <f>K134</f>
        <v>115.9</v>
      </c>
      <c r="L133" s="9">
        <f>L134</f>
        <v>9053.2999999999993</v>
      </c>
      <c r="M133" s="9"/>
      <c r="N133" s="9">
        <f>N134</f>
        <v>9053.2999999999993</v>
      </c>
    </row>
    <row r="134" spans="1:14" x14ac:dyDescent="0.3">
      <c r="A134" s="7"/>
      <c r="B134" s="7"/>
      <c r="C134" s="7"/>
      <c r="D134" s="7" t="s">
        <v>12</v>
      </c>
      <c r="E134" s="6" t="s">
        <v>11</v>
      </c>
      <c r="F134" s="9">
        <v>115.9</v>
      </c>
      <c r="G134" s="9"/>
      <c r="H134" s="9">
        <v>115.9</v>
      </c>
      <c r="I134" s="9">
        <v>115.9</v>
      </c>
      <c r="J134" s="380"/>
      <c r="K134" s="9">
        <v>115.9</v>
      </c>
      <c r="L134" s="9">
        <v>9053.2999999999993</v>
      </c>
      <c r="M134" s="9"/>
      <c r="N134" s="9">
        <v>9053.2999999999993</v>
      </c>
    </row>
    <row r="135" spans="1:14" x14ac:dyDescent="0.3">
      <c r="A135" s="7"/>
      <c r="B135" s="7"/>
      <c r="C135" s="7" t="s">
        <v>504</v>
      </c>
      <c r="D135" s="7"/>
      <c r="E135" s="12" t="s">
        <v>503</v>
      </c>
      <c r="F135" s="9">
        <f>F136+F137</f>
        <v>4001.6</v>
      </c>
      <c r="G135" s="9"/>
      <c r="H135" s="9">
        <f>H136+H137</f>
        <v>4001.6</v>
      </c>
      <c r="I135" s="9">
        <f>I136+I137</f>
        <v>3395.6</v>
      </c>
      <c r="J135" s="380"/>
      <c r="K135" s="9">
        <f>K136+K137</f>
        <v>3395.6</v>
      </c>
      <c r="L135" s="9">
        <f>L136+L137</f>
        <v>2183.6999999999998</v>
      </c>
      <c r="M135" s="9"/>
      <c r="N135" s="9">
        <f>N136+N137</f>
        <v>2183.6999999999998</v>
      </c>
    </row>
    <row r="136" spans="1:14" x14ac:dyDescent="0.3">
      <c r="A136" s="7"/>
      <c r="B136" s="7"/>
      <c r="C136" s="7"/>
      <c r="D136" s="7" t="s">
        <v>12</v>
      </c>
      <c r="E136" s="6" t="s">
        <v>11</v>
      </c>
      <c r="F136" s="9">
        <f>3894-24.3</f>
        <v>3869.7</v>
      </c>
      <c r="G136" s="9"/>
      <c r="H136" s="9">
        <f>3894-24.3</f>
        <v>3869.7</v>
      </c>
      <c r="I136" s="9">
        <f>3288-24.3</f>
        <v>3263.7</v>
      </c>
      <c r="J136" s="380"/>
      <c r="K136" s="9">
        <f>3288-24.3</f>
        <v>3263.7</v>
      </c>
      <c r="L136" s="9">
        <f>2076.1-24.3</f>
        <v>2051.7999999999997</v>
      </c>
      <c r="M136" s="9"/>
      <c r="N136" s="9">
        <f>2076.1-24.3</f>
        <v>2051.7999999999997</v>
      </c>
    </row>
    <row r="137" spans="1:14" ht="27" x14ac:dyDescent="0.3">
      <c r="A137" s="7"/>
      <c r="B137" s="7"/>
      <c r="C137" s="7"/>
      <c r="D137" s="7" t="s">
        <v>57</v>
      </c>
      <c r="E137" s="6" t="s">
        <v>56</v>
      </c>
      <c r="F137" s="9">
        <f>107.6+24.3</f>
        <v>131.9</v>
      </c>
      <c r="G137" s="9"/>
      <c r="H137" s="9">
        <f>107.6+24.3</f>
        <v>131.9</v>
      </c>
      <c r="I137" s="9">
        <f>107.6+24.3</f>
        <v>131.9</v>
      </c>
      <c r="J137" s="380"/>
      <c r="K137" s="9">
        <f>107.6+24.3</f>
        <v>131.9</v>
      </c>
      <c r="L137" s="9">
        <f>107.6+24.3</f>
        <v>131.9</v>
      </c>
      <c r="M137" s="9"/>
      <c r="N137" s="9">
        <f>107.6+24.3</f>
        <v>131.9</v>
      </c>
    </row>
    <row r="138" spans="1:14" x14ac:dyDescent="0.3">
      <c r="A138" s="7"/>
      <c r="B138" s="7"/>
      <c r="C138" s="7" t="s">
        <v>502</v>
      </c>
      <c r="D138" s="7"/>
      <c r="E138" s="117" t="s">
        <v>501</v>
      </c>
      <c r="F138" s="9">
        <f>SUM(F139)</f>
        <v>498.7</v>
      </c>
      <c r="G138" s="9"/>
      <c r="H138" s="9">
        <f>SUM(H139)</f>
        <v>498.7</v>
      </c>
      <c r="I138" s="9">
        <f>SUM(I139)</f>
        <v>485.5</v>
      </c>
      <c r="J138" s="380"/>
      <c r="K138" s="9">
        <f>SUM(K139)</f>
        <v>485.5</v>
      </c>
      <c r="L138" s="9">
        <f>SUM(L139)</f>
        <v>485.5</v>
      </c>
      <c r="M138" s="9"/>
      <c r="N138" s="9">
        <f>SUM(N139)</f>
        <v>485.5</v>
      </c>
    </row>
    <row r="139" spans="1:14" x14ac:dyDescent="0.3">
      <c r="A139" s="7"/>
      <c r="B139" s="7"/>
      <c r="C139" s="7"/>
      <c r="D139" s="7" t="s">
        <v>12</v>
      </c>
      <c r="E139" s="6" t="s">
        <v>11</v>
      </c>
      <c r="F139" s="9">
        <v>498.7</v>
      </c>
      <c r="G139" s="9"/>
      <c r="H139" s="9">
        <v>498.7</v>
      </c>
      <c r="I139" s="9">
        <v>485.5</v>
      </c>
      <c r="J139" s="380"/>
      <c r="K139" s="9">
        <v>485.5</v>
      </c>
      <c r="L139" s="9">
        <v>485.5</v>
      </c>
      <c r="M139" s="9"/>
      <c r="N139" s="9">
        <v>485.5</v>
      </c>
    </row>
    <row r="140" spans="1:14" ht="26.4" x14ac:dyDescent="0.3">
      <c r="A140" s="7"/>
      <c r="B140" s="23" t="s">
        <v>500</v>
      </c>
      <c r="C140" s="22"/>
      <c r="D140" s="23"/>
      <c r="E140" s="28" t="s">
        <v>499</v>
      </c>
      <c r="F140" s="27">
        <f>F141</f>
        <v>1082.5</v>
      </c>
      <c r="G140" s="27"/>
      <c r="H140" s="27">
        <f>H141</f>
        <v>1082.5</v>
      </c>
      <c r="I140" s="27">
        <f>I141</f>
        <v>871.19999999999993</v>
      </c>
      <c r="J140" s="381"/>
      <c r="K140" s="27">
        <f>K141</f>
        <v>871.19999999999993</v>
      </c>
      <c r="L140" s="27">
        <f>L141</f>
        <v>629.19999999999993</v>
      </c>
      <c r="M140" s="27"/>
      <c r="N140" s="27">
        <f>N141</f>
        <v>629.19999999999993</v>
      </c>
    </row>
    <row r="141" spans="1:14" x14ac:dyDescent="0.3">
      <c r="A141" s="7"/>
      <c r="B141" s="23"/>
      <c r="C141" s="22" t="s">
        <v>36</v>
      </c>
      <c r="D141" s="21"/>
      <c r="E141" s="28" t="s">
        <v>35</v>
      </c>
      <c r="F141" s="27">
        <f>F142+F162</f>
        <v>1082.5</v>
      </c>
      <c r="G141" s="27"/>
      <c r="H141" s="27">
        <f>H142+H162</f>
        <v>1082.5</v>
      </c>
      <c r="I141" s="27">
        <f>I142+I162</f>
        <v>871.19999999999993</v>
      </c>
      <c r="J141" s="381"/>
      <c r="K141" s="27">
        <f>K142+K162</f>
        <v>871.19999999999993</v>
      </c>
      <c r="L141" s="27">
        <f>L142+L162</f>
        <v>629.19999999999993</v>
      </c>
      <c r="M141" s="27"/>
      <c r="N141" s="27">
        <f>N142+N162</f>
        <v>629.19999999999993</v>
      </c>
    </row>
    <row r="142" spans="1:14" ht="26.4" x14ac:dyDescent="0.3">
      <c r="A142" s="34"/>
      <c r="B142" s="34"/>
      <c r="C142" s="35" t="s">
        <v>498</v>
      </c>
      <c r="D142" s="34"/>
      <c r="E142" s="33" t="s">
        <v>497</v>
      </c>
      <c r="F142" s="32">
        <f>F143+F149</f>
        <v>865.3</v>
      </c>
      <c r="G142" s="32"/>
      <c r="H142" s="32">
        <f>H143+H149</f>
        <v>865.3</v>
      </c>
      <c r="I142" s="32">
        <f>I143+I149</f>
        <v>865.3</v>
      </c>
      <c r="J142" s="377"/>
      <c r="K142" s="32">
        <f>K143+K149</f>
        <v>865.3</v>
      </c>
      <c r="L142" s="32">
        <f>L143+L149</f>
        <v>623.29999999999995</v>
      </c>
      <c r="M142" s="32"/>
      <c r="N142" s="32">
        <f>N143+N149</f>
        <v>623.29999999999995</v>
      </c>
    </row>
    <row r="143" spans="1:14" ht="40.200000000000003" x14ac:dyDescent="0.3">
      <c r="A143" s="31"/>
      <c r="B143" s="31"/>
      <c r="C143" s="31" t="s">
        <v>496</v>
      </c>
      <c r="D143" s="31"/>
      <c r="E143" s="52" t="s">
        <v>741</v>
      </c>
      <c r="F143" s="29">
        <f>F144</f>
        <v>538.19999999999993</v>
      </c>
      <c r="G143" s="29"/>
      <c r="H143" s="29">
        <f>H144</f>
        <v>538.19999999999993</v>
      </c>
      <c r="I143" s="29">
        <f>I144</f>
        <v>538.19999999999993</v>
      </c>
      <c r="J143" s="378"/>
      <c r="K143" s="29">
        <f>K144</f>
        <v>538.19999999999993</v>
      </c>
      <c r="L143" s="29">
        <f>L144</f>
        <v>296.2</v>
      </c>
      <c r="M143" s="29"/>
      <c r="N143" s="29">
        <f>N144</f>
        <v>296.2</v>
      </c>
    </row>
    <row r="144" spans="1:14" ht="40.200000000000003" x14ac:dyDescent="0.3">
      <c r="A144" s="223"/>
      <c r="B144" s="223"/>
      <c r="C144" s="223" t="s">
        <v>495</v>
      </c>
      <c r="D144" s="231"/>
      <c r="E144" s="224" t="s">
        <v>742</v>
      </c>
      <c r="F144" s="225">
        <f>F145+F147</f>
        <v>538.19999999999993</v>
      </c>
      <c r="G144" s="225"/>
      <c r="H144" s="225">
        <f>H145+H147</f>
        <v>538.19999999999993</v>
      </c>
      <c r="I144" s="225">
        <f>I145+I147</f>
        <v>538.19999999999993</v>
      </c>
      <c r="J144" s="379"/>
      <c r="K144" s="225">
        <f>K145+K147</f>
        <v>538.19999999999993</v>
      </c>
      <c r="L144" s="225">
        <f>L145+L147</f>
        <v>296.2</v>
      </c>
      <c r="M144" s="225"/>
      <c r="N144" s="225">
        <f>N145+N147</f>
        <v>296.2</v>
      </c>
    </row>
    <row r="145" spans="1:14" ht="40.200000000000003" x14ac:dyDescent="0.3">
      <c r="A145" s="7"/>
      <c r="B145" s="7"/>
      <c r="C145" s="7" t="s">
        <v>494</v>
      </c>
      <c r="D145" s="7"/>
      <c r="E145" s="6" t="s">
        <v>493</v>
      </c>
      <c r="F145" s="9">
        <f>F146</f>
        <v>7.4</v>
      </c>
      <c r="G145" s="9"/>
      <c r="H145" s="9">
        <f>H146</f>
        <v>7.4</v>
      </c>
      <c r="I145" s="9">
        <f>I146</f>
        <v>7.4</v>
      </c>
      <c r="J145" s="380"/>
      <c r="K145" s="9">
        <f>K146</f>
        <v>7.4</v>
      </c>
      <c r="L145" s="9">
        <f>L146</f>
        <v>7.4</v>
      </c>
      <c r="M145" s="9"/>
      <c r="N145" s="9">
        <f>N146</f>
        <v>7.4</v>
      </c>
    </row>
    <row r="146" spans="1:14" x14ac:dyDescent="0.3">
      <c r="A146" s="7"/>
      <c r="B146" s="7"/>
      <c r="C146" s="7"/>
      <c r="D146" s="7" t="s">
        <v>12</v>
      </c>
      <c r="E146" s="6" t="s">
        <v>11</v>
      </c>
      <c r="F146" s="9">
        <v>7.4</v>
      </c>
      <c r="G146" s="9"/>
      <c r="H146" s="9">
        <v>7.4</v>
      </c>
      <c r="I146" s="9">
        <v>7.4</v>
      </c>
      <c r="J146" s="380"/>
      <c r="K146" s="9">
        <v>7.4</v>
      </c>
      <c r="L146" s="9">
        <v>7.4</v>
      </c>
      <c r="M146" s="9"/>
      <c r="N146" s="9">
        <v>7.4</v>
      </c>
    </row>
    <row r="147" spans="1:14" ht="40.200000000000003" x14ac:dyDescent="0.3">
      <c r="A147" s="7"/>
      <c r="B147" s="7"/>
      <c r="C147" s="7" t="s">
        <v>492</v>
      </c>
      <c r="D147" s="7"/>
      <c r="E147" s="6" t="s">
        <v>491</v>
      </c>
      <c r="F147" s="9">
        <f>F148</f>
        <v>530.79999999999995</v>
      </c>
      <c r="G147" s="9"/>
      <c r="H147" s="9">
        <f>H148</f>
        <v>530.79999999999995</v>
      </c>
      <c r="I147" s="9">
        <f>I148</f>
        <v>530.79999999999995</v>
      </c>
      <c r="J147" s="380"/>
      <c r="K147" s="9">
        <f>K148</f>
        <v>530.79999999999995</v>
      </c>
      <c r="L147" s="9">
        <f>L148</f>
        <v>288.8</v>
      </c>
      <c r="M147" s="9"/>
      <c r="N147" s="9">
        <f>N148</f>
        <v>288.8</v>
      </c>
    </row>
    <row r="148" spans="1:14" x14ac:dyDescent="0.3">
      <c r="A148" s="7"/>
      <c r="B148" s="7"/>
      <c r="C148" s="7"/>
      <c r="D148" s="7" t="s">
        <v>12</v>
      </c>
      <c r="E148" s="6" t="s">
        <v>11</v>
      </c>
      <c r="F148" s="9">
        <v>530.79999999999995</v>
      </c>
      <c r="G148" s="9"/>
      <c r="H148" s="9">
        <v>530.79999999999995</v>
      </c>
      <c r="I148" s="9">
        <v>530.79999999999995</v>
      </c>
      <c r="J148" s="380"/>
      <c r="K148" s="9">
        <v>530.79999999999995</v>
      </c>
      <c r="L148" s="9">
        <v>288.8</v>
      </c>
      <c r="M148" s="9"/>
      <c r="N148" s="9">
        <v>288.8</v>
      </c>
    </row>
    <row r="149" spans="1:14" ht="27" x14ac:dyDescent="0.3">
      <c r="A149" s="31"/>
      <c r="B149" s="31"/>
      <c r="C149" s="31" t="s">
        <v>490</v>
      </c>
      <c r="D149" s="31"/>
      <c r="E149" s="52" t="s">
        <v>489</v>
      </c>
      <c r="F149" s="29">
        <f>F150</f>
        <v>327.10000000000002</v>
      </c>
      <c r="G149" s="29"/>
      <c r="H149" s="29">
        <f>H150</f>
        <v>327.10000000000002</v>
      </c>
      <c r="I149" s="29">
        <f>I150</f>
        <v>327.10000000000002</v>
      </c>
      <c r="J149" s="378"/>
      <c r="K149" s="29">
        <f>K150</f>
        <v>327.10000000000002</v>
      </c>
      <c r="L149" s="29">
        <f>L150</f>
        <v>327.10000000000002</v>
      </c>
      <c r="M149" s="29"/>
      <c r="N149" s="29">
        <f>N150</f>
        <v>327.10000000000002</v>
      </c>
    </row>
    <row r="150" spans="1:14" ht="27" x14ac:dyDescent="0.3">
      <c r="A150" s="223"/>
      <c r="B150" s="223"/>
      <c r="C150" s="223" t="s">
        <v>488</v>
      </c>
      <c r="D150" s="231"/>
      <c r="E150" s="224" t="s">
        <v>487</v>
      </c>
      <c r="F150" s="225">
        <f>F151+F160+F157</f>
        <v>327.10000000000002</v>
      </c>
      <c r="G150" s="225"/>
      <c r="H150" s="225">
        <f>H151+H160+H157</f>
        <v>327.10000000000002</v>
      </c>
      <c r="I150" s="225">
        <f>I151+I160+I157</f>
        <v>327.10000000000002</v>
      </c>
      <c r="J150" s="379"/>
      <c r="K150" s="225">
        <f>K151+K160+K157</f>
        <v>327.10000000000002</v>
      </c>
      <c r="L150" s="225">
        <f>L151+L160+L157</f>
        <v>327.10000000000002</v>
      </c>
      <c r="M150" s="225"/>
      <c r="N150" s="225">
        <f>N151+N160+N157</f>
        <v>327.10000000000002</v>
      </c>
    </row>
    <row r="151" spans="1:14" x14ac:dyDescent="0.3">
      <c r="A151" s="8"/>
      <c r="B151" s="8"/>
      <c r="C151" s="7" t="s">
        <v>486</v>
      </c>
      <c r="D151" s="7"/>
      <c r="E151" s="116" t="s">
        <v>762</v>
      </c>
      <c r="F151" s="9">
        <f>F152+F155</f>
        <v>267.60000000000002</v>
      </c>
      <c r="G151" s="9"/>
      <c r="H151" s="9">
        <f>H152+H155</f>
        <v>267.60000000000002</v>
      </c>
      <c r="I151" s="9">
        <f>I152+I155</f>
        <v>267.60000000000002</v>
      </c>
      <c r="J151" s="380"/>
      <c r="K151" s="9">
        <f>K152+K155</f>
        <v>267.60000000000002</v>
      </c>
      <c r="L151" s="9">
        <f>L152+L155</f>
        <v>267.60000000000002</v>
      </c>
      <c r="M151" s="9"/>
      <c r="N151" s="9">
        <f>N152+N155</f>
        <v>267.60000000000002</v>
      </c>
    </row>
    <row r="152" spans="1:14" x14ac:dyDescent="0.3">
      <c r="A152" s="8"/>
      <c r="B152" s="8"/>
      <c r="C152" s="7"/>
      <c r="D152" s="7" t="s">
        <v>2</v>
      </c>
      <c r="E152" s="6" t="s">
        <v>11</v>
      </c>
      <c r="F152" s="9">
        <f>SUM(F153:F154)</f>
        <v>248.5</v>
      </c>
      <c r="G152" s="9"/>
      <c r="H152" s="9">
        <f>SUM(H153:H154)</f>
        <v>248.5</v>
      </c>
      <c r="I152" s="9">
        <f>SUM(I153:I154)</f>
        <v>248.5</v>
      </c>
      <c r="J152" s="380"/>
      <c r="K152" s="9">
        <f>SUM(K153:K154)</f>
        <v>248.5</v>
      </c>
      <c r="L152" s="9">
        <f>SUM(L153:L154)</f>
        <v>248.5</v>
      </c>
      <c r="M152" s="9"/>
      <c r="N152" s="9">
        <f>SUM(N153:N154)</f>
        <v>248.5</v>
      </c>
    </row>
    <row r="153" spans="1:14" x14ac:dyDescent="0.3">
      <c r="A153" s="8"/>
      <c r="B153" s="8"/>
      <c r="C153" s="7"/>
      <c r="D153" s="7"/>
      <c r="E153" s="6" t="s">
        <v>165</v>
      </c>
      <c r="F153" s="9">
        <v>86.1</v>
      </c>
      <c r="G153" s="9"/>
      <c r="H153" s="9">
        <v>86.1</v>
      </c>
      <c r="I153" s="9">
        <v>86.1</v>
      </c>
      <c r="J153" s="380"/>
      <c r="K153" s="9">
        <v>86.1</v>
      </c>
      <c r="L153" s="9">
        <v>86.1</v>
      </c>
      <c r="M153" s="9"/>
      <c r="N153" s="9">
        <v>86.1</v>
      </c>
    </row>
    <row r="154" spans="1:14" x14ac:dyDescent="0.3">
      <c r="A154" s="8"/>
      <c r="B154" s="8"/>
      <c r="C154" s="7"/>
      <c r="D154" s="7"/>
      <c r="E154" s="6" t="s">
        <v>164</v>
      </c>
      <c r="F154" s="9">
        <v>162.4</v>
      </c>
      <c r="G154" s="9"/>
      <c r="H154" s="9">
        <v>162.4</v>
      </c>
      <c r="I154" s="9">
        <v>162.4</v>
      </c>
      <c r="J154" s="380"/>
      <c r="K154" s="9">
        <v>162.4</v>
      </c>
      <c r="L154" s="9">
        <v>162.4</v>
      </c>
      <c r="M154" s="9"/>
      <c r="N154" s="9">
        <v>162.4</v>
      </c>
    </row>
    <row r="155" spans="1:14" x14ac:dyDescent="0.3">
      <c r="A155" s="8"/>
      <c r="B155" s="8"/>
      <c r="C155" s="7"/>
      <c r="D155" s="7" t="s">
        <v>12</v>
      </c>
      <c r="E155" s="6" t="s">
        <v>11</v>
      </c>
      <c r="F155" s="9">
        <f>F156</f>
        <v>19.100000000000001</v>
      </c>
      <c r="G155" s="9"/>
      <c r="H155" s="9">
        <f>H156</f>
        <v>19.100000000000001</v>
      </c>
      <c r="I155" s="9">
        <f>I156</f>
        <v>19.100000000000001</v>
      </c>
      <c r="J155" s="380"/>
      <c r="K155" s="9">
        <f>K156</f>
        <v>19.100000000000001</v>
      </c>
      <c r="L155" s="9">
        <f>L156</f>
        <v>19.100000000000001</v>
      </c>
      <c r="M155" s="9"/>
      <c r="N155" s="9">
        <f>N156</f>
        <v>19.100000000000001</v>
      </c>
    </row>
    <row r="156" spans="1:14" x14ac:dyDescent="0.3">
      <c r="A156" s="8"/>
      <c r="B156" s="8"/>
      <c r="C156" s="7"/>
      <c r="D156" s="7"/>
      <c r="E156" s="6" t="s">
        <v>164</v>
      </c>
      <c r="F156" s="9">
        <v>19.100000000000001</v>
      </c>
      <c r="G156" s="9"/>
      <c r="H156" s="9">
        <v>19.100000000000001</v>
      </c>
      <c r="I156" s="9">
        <v>19.100000000000001</v>
      </c>
      <c r="J156" s="380"/>
      <c r="K156" s="9">
        <v>19.100000000000001</v>
      </c>
      <c r="L156" s="9">
        <v>19.100000000000001</v>
      </c>
      <c r="M156" s="9"/>
      <c r="N156" s="9">
        <v>19.100000000000001</v>
      </c>
    </row>
    <row r="157" spans="1:14" ht="27" x14ac:dyDescent="0.3">
      <c r="A157" s="8"/>
      <c r="B157" s="8"/>
      <c r="C157" s="7" t="s">
        <v>485</v>
      </c>
      <c r="D157" s="7"/>
      <c r="E157" s="6" t="s">
        <v>763</v>
      </c>
      <c r="F157" s="5">
        <f>F158+F159</f>
        <v>35.5</v>
      </c>
      <c r="G157" s="5"/>
      <c r="H157" s="5">
        <f>H158+H159</f>
        <v>35.5</v>
      </c>
      <c r="I157" s="5">
        <f>I158+I159</f>
        <v>35.5</v>
      </c>
      <c r="J157" s="382"/>
      <c r="K157" s="5">
        <f>K158+K159</f>
        <v>35.5</v>
      </c>
      <c r="L157" s="5">
        <f>L158+L159</f>
        <v>35.5</v>
      </c>
      <c r="M157" s="5"/>
      <c r="N157" s="5">
        <f>N158+N159</f>
        <v>35.5</v>
      </c>
    </row>
    <row r="158" spans="1:14" x14ac:dyDescent="0.3">
      <c r="A158" s="8"/>
      <c r="B158" s="8"/>
      <c r="C158" s="7"/>
      <c r="D158" s="7" t="s">
        <v>12</v>
      </c>
      <c r="E158" s="6" t="s">
        <v>11</v>
      </c>
      <c r="F158" s="5">
        <v>29.5</v>
      </c>
      <c r="G158" s="5"/>
      <c r="H158" s="5">
        <v>29.5</v>
      </c>
      <c r="I158" s="5">
        <v>29.5</v>
      </c>
      <c r="J158" s="382"/>
      <c r="K158" s="5">
        <v>29.5</v>
      </c>
      <c r="L158" s="5">
        <v>29.5</v>
      </c>
      <c r="M158" s="5"/>
      <c r="N158" s="5">
        <v>29.5</v>
      </c>
    </row>
    <row r="159" spans="1:14" ht="27" x14ac:dyDescent="0.3">
      <c r="A159" s="8"/>
      <c r="B159" s="8"/>
      <c r="C159" s="7"/>
      <c r="D159" s="7" t="s">
        <v>57</v>
      </c>
      <c r="E159" s="6" t="s">
        <v>56</v>
      </c>
      <c r="F159" s="5">
        <v>6</v>
      </c>
      <c r="G159" s="5"/>
      <c r="H159" s="5">
        <v>6</v>
      </c>
      <c r="I159" s="5">
        <v>6</v>
      </c>
      <c r="J159" s="382"/>
      <c r="K159" s="5">
        <v>6</v>
      </c>
      <c r="L159" s="5">
        <v>6</v>
      </c>
      <c r="M159" s="5"/>
      <c r="N159" s="5">
        <v>6</v>
      </c>
    </row>
    <row r="160" spans="1:14" x14ac:dyDescent="0.3">
      <c r="A160" s="8"/>
      <c r="B160" s="8"/>
      <c r="C160" s="7" t="s">
        <v>484</v>
      </c>
      <c r="D160" s="7"/>
      <c r="E160" s="6" t="s">
        <v>483</v>
      </c>
      <c r="F160" s="5">
        <f>F161</f>
        <v>24</v>
      </c>
      <c r="G160" s="5"/>
      <c r="H160" s="5">
        <f>H161</f>
        <v>24</v>
      </c>
      <c r="I160" s="5">
        <f>I161</f>
        <v>24</v>
      </c>
      <c r="J160" s="382"/>
      <c r="K160" s="5">
        <f>K161</f>
        <v>24</v>
      </c>
      <c r="L160" s="5">
        <f>L161</f>
        <v>24</v>
      </c>
      <c r="M160" s="5"/>
      <c r="N160" s="5">
        <f>N161</f>
        <v>24</v>
      </c>
    </row>
    <row r="161" spans="1:14" ht="27" x14ac:dyDescent="0.3">
      <c r="A161" s="8"/>
      <c r="B161" s="8"/>
      <c r="C161" s="7"/>
      <c r="D161" s="7" t="s">
        <v>57</v>
      </c>
      <c r="E161" s="6" t="s">
        <v>56</v>
      </c>
      <c r="F161" s="5">
        <v>24</v>
      </c>
      <c r="G161" s="5"/>
      <c r="H161" s="5">
        <v>24</v>
      </c>
      <c r="I161" s="5">
        <v>24</v>
      </c>
      <c r="J161" s="382"/>
      <c r="K161" s="5">
        <v>24</v>
      </c>
      <c r="L161" s="5">
        <v>24</v>
      </c>
      <c r="M161" s="5"/>
      <c r="N161" s="5">
        <v>24</v>
      </c>
    </row>
    <row r="162" spans="1:14" ht="39.6" x14ac:dyDescent="0.3">
      <c r="A162" s="34"/>
      <c r="B162" s="34"/>
      <c r="C162" s="35" t="s">
        <v>482</v>
      </c>
      <c r="D162" s="34"/>
      <c r="E162" s="33" t="s">
        <v>481</v>
      </c>
      <c r="F162" s="32">
        <f t="shared" ref="F162:N164" si="23">F163</f>
        <v>217.2</v>
      </c>
      <c r="G162" s="32"/>
      <c r="H162" s="32">
        <f t="shared" si="23"/>
        <v>217.2</v>
      </c>
      <c r="I162" s="32">
        <f t="shared" si="23"/>
        <v>5.9</v>
      </c>
      <c r="J162" s="377"/>
      <c r="K162" s="32">
        <f t="shared" si="23"/>
        <v>5.9</v>
      </c>
      <c r="L162" s="32">
        <f t="shared" si="23"/>
        <v>5.9</v>
      </c>
      <c r="M162" s="32"/>
      <c r="N162" s="32">
        <f t="shared" si="23"/>
        <v>5.9</v>
      </c>
    </row>
    <row r="163" spans="1:14" x14ac:dyDescent="0.3">
      <c r="A163" s="223"/>
      <c r="B163" s="223"/>
      <c r="C163" s="223" t="s">
        <v>480</v>
      </c>
      <c r="D163" s="223"/>
      <c r="E163" s="236" t="s">
        <v>479</v>
      </c>
      <c r="F163" s="225">
        <f t="shared" si="23"/>
        <v>217.2</v>
      </c>
      <c r="G163" s="225"/>
      <c r="H163" s="225">
        <f t="shared" si="23"/>
        <v>217.2</v>
      </c>
      <c r="I163" s="225">
        <f t="shared" si="23"/>
        <v>5.9</v>
      </c>
      <c r="J163" s="379"/>
      <c r="K163" s="225">
        <f t="shared" si="23"/>
        <v>5.9</v>
      </c>
      <c r="L163" s="225">
        <f t="shared" si="23"/>
        <v>5.9</v>
      </c>
      <c r="M163" s="225"/>
      <c r="N163" s="225">
        <f t="shared" si="23"/>
        <v>5.9</v>
      </c>
    </row>
    <row r="164" spans="1:14" x14ac:dyDescent="0.3">
      <c r="A164" s="8"/>
      <c r="B164" s="8"/>
      <c r="C164" s="7" t="s">
        <v>478</v>
      </c>
      <c r="D164" s="7"/>
      <c r="E164" s="115" t="s">
        <v>806</v>
      </c>
      <c r="F164" s="9">
        <f t="shared" si="23"/>
        <v>217.2</v>
      </c>
      <c r="G164" s="9"/>
      <c r="H164" s="9">
        <f t="shared" si="23"/>
        <v>217.2</v>
      </c>
      <c r="I164" s="9">
        <f t="shared" si="23"/>
        <v>5.9</v>
      </c>
      <c r="J164" s="380"/>
      <c r="K164" s="9">
        <f t="shared" si="23"/>
        <v>5.9</v>
      </c>
      <c r="L164" s="9">
        <f t="shared" si="23"/>
        <v>5.9</v>
      </c>
      <c r="M164" s="9"/>
      <c r="N164" s="9">
        <f t="shared" si="23"/>
        <v>5.9</v>
      </c>
    </row>
    <row r="165" spans="1:14" x14ac:dyDescent="0.3">
      <c r="A165" s="8"/>
      <c r="B165" s="8"/>
      <c r="C165" s="7"/>
      <c r="D165" s="7" t="s">
        <v>12</v>
      </c>
      <c r="E165" s="6" t="s">
        <v>11</v>
      </c>
      <c r="F165" s="9">
        <v>217.2</v>
      </c>
      <c r="G165" s="9"/>
      <c r="H165" s="9">
        <v>217.2</v>
      </c>
      <c r="I165" s="9">
        <v>5.9</v>
      </c>
      <c r="J165" s="380"/>
      <c r="K165" s="9">
        <v>5.9</v>
      </c>
      <c r="L165" s="9">
        <v>5.9</v>
      </c>
      <c r="M165" s="9"/>
      <c r="N165" s="9">
        <v>5.9</v>
      </c>
    </row>
    <row r="166" spans="1:14" x14ac:dyDescent="0.3">
      <c r="A166" s="21"/>
      <c r="B166" s="23" t="s">
        <v>477</v>
      </c>
      <c r="C166" s="22"/>
      <c r="D166" s="21"/>
      <c r="E166" s="20" t="s">
        <v>476</v>
      </c>
      <c r="F166" s="27">
        <f t="shared" ref="F166:L166" si="24">F167+F192+F199+F242</f>
        <v>151568.81288000001</v>
      </c>
      <c r="G166" s="27">
        <f t="shared" si="24"/>
        <v>32.700000000000003</v>
      </c>
      <c r="H166" s="27">
        <f t="shared" si="24"/>
        <v>151601.51287999999</v>
      </c>
      <c r="I166" s="27">
        <f t="shared" si="24"/>
        <v>73000.580500000011</v>
      </c>
      <c r="J166" s="27">
        <f t="shared" si="24"/>
        <v>2115.9315699999997</v>
      </c>
      <c r="K166" s="27">
        <f t="shared" si="24"/>
        <v>75116.512069999997</v>
      </c>
      <c r="L166" s="27">
        <f t="shared" si="24"/>
        <v>71270.8</v>
      </c>
      <c r="M166" s="27"/>
      <c r="N166" s="27">
        <f>N167+N192+N199+N242</f>
        <v>71270.8</v>
      </c>
    </row>
    <row r="167" spans="1:14" x14ac:dyDescent="0.3">
      <c r="A167" s="21"/>
      <c r="B167" s="23" t="s">
        <v>475</v>
      </c>
      <c r="C167" s="22"/>
      <c r="D167" s="23"/>
      <c r="E167" s="28" t="s">
        <v>474</v>
      </c>
      <c r="F167" s="27">
        <f>F168+F188</f>
        <v>935.2</v>
      </c>
      <c r="G167" s="27"/>
      <c r="H167" s="27">
        <f>H168+H188</f>
        <v>935.2</v>
      </c>
      <c r="I167" s="27">
        <f>I168+I188</f>
        <v>935.2</v>
      </c>
      <c r="J167" s="381"/>
      <c r="K167" s="27">
        <f>K168+K188</f>
        <v>935.2</v>
      </c>
      <c r="L167" s="27">
        <f>L168+L188</f>
        <v>935.2</v>
      </c>
      <c r="M167" s="27"/>
      <c r="N167" s="27">
        <f>N168+N188</f>
        <v>935.2</v>
      </c>
    </row>
    <row r="168" spans="1:14" x14ac:dyDescent="0.3">
      <c r="A168" s="21"/>
      <c r="B168" s="23"/>
      <c r="C168" s="22" t="s">
        <v>36</v>
      </c>
      <c r="D168" s="21"/>
      <c r="E168" s="28" t="s">
        <v>35</v>
      </c>
      <c r="F168" s="27">
        <f>F169+F183</f>
        <v>378.8</v>
      </c>
      <c r="G168" s="27"/>
      <c r="H168" s="27">
        <f>H169+H183</f>
        <v>378.8</v>
      </c>
      <c r="I168" s="27">
        <f>I169+I183</f>
        <v>378.8</v>
      </c>
      <c r="J168" s="381"/>
      <c r="K168" s="27">
        <f>K169+K183</f>
        <v>378.8</v>
      </c>
      <c r="L168" s="27">
        <f>L169+L183</f>
        <v>378.8</v>
      </c>
      <c r="M168" s="27"/>
      <c r="N168" s="27">
        <f>N169+N183</f>
        <v>378.8</v>
      </c>
    </row>
    <row r="169" spans="1:14" ht="26.4" x14ac:dyDescent="0.3">
      <c r="A169" s="34"/>
      <c r="B169" s="34"/>
      <c r="C169" s="35" t="s">
        <v>412</v>
      </c>
      <c r="D169" s="34"/>
      <c r="E169" s="33" t="s">
        <v>411</v>
      </c>
      <c r="F169" s="32">
        <f>F170</f>
        <v>259.8</v>
      </c>
      <c r="G169" s="32"/>
      <c r="H169" s="32">
        <f>H170</f>
        <v>259.8</v>
      </c>
      <c r="I169" s="32">
        <f>I170</f>
        <v>259.8</v>
      </c>
      <c r="J169" s="377"/>
      <c r="K169" s="32">
        <f>K170</f>
        <v>259.8</v>
      </c>
      <c r="L169" s="32">
        <f>L170</f>
        <v>259.8</v>
      </c>
      <c r="M169" s="32"/>
      <c r="N169" s="32">
        <f>N170</f>
        <v>259.8</v>
      </c>
    </row>
    <row r="170" spans="1:14" ht="27" x14ac:dyDescent="0.3">
      <c r="A170" s="31"/>
      <c r="B170" s="31"/>
      <c r="C170" s="31" t="s">
        <v>473</v>
      </c>
      <c r="D170" s="31"/>
      <c r="E170" s="83" t="s">
        <v>472</v>
      </c>
      <c r="F170" s="29">
        <f>F171+F174</f>
        <v>259.8</v>
      </c>
      <c r="G170" s="29"/>
      <c r="H170" s="29">
        <f>H171+H174</f>
        <v>259.8</v>
      </c>
      <c r="I170" s="29">
        <f>I171+I174</f>
        <v>259.8</v>
      </c>
      <c r="J170" s="378"/>
      <c r="K170" s="29">
        <f>K171+K174</f>
        <v>259.8</v>
      </c>
      <c r="L170" s="29">
        <f>L171+L174</f>
        <v>259.8</v>
      </c>
      <c r="M170" s="29"/>
      <c r="N170" s="29">
        <f>N171+N174</f>
        <v>259.8</v>
      </c>
    </row>
    <row r="171" spans="1:14" x14ac:dyDescent="0.3">
      <c r="A171" s="223"/>
      <c r="B171" s="223"/>
      <c r="C171" s="223" t="s">
        <v>471</v>
      </c>
      <c r="D171" s="223"/>
      <c r="E171" s="236" t="s">
        <v>470</v>
      </c>
      <c r="F171" s="225">
        <f t="shared" ref="F171:N172" si="25">F172</f>
        <v>124</v>
      </c>
      <c r="G171" s="225"/>
      <c r="H171" s="225">
        <f t="shared" si="25"/>
        <v>124</v>
      </c>
      <c r="I171" s="225">
        <f t="shared" si="25"/>
        <v>124</v>
      </c>
      <c r="J171" s="379"/>
      <c r="K171" s="225">
        <f t="shared" si="25"/>
        <v>124</v>
      </c>
      <c r="L171" s="225">
        <f t="shared" si="25"/>
        <v>124</v>
      </c>
      <c r="M171" s="225"/>
      <c r="N171" s="225">
        <f t="shared" si="25"/>
        <v>124</v>
      </c>
    </row>
    <row r="172" spans="1:14" x14ac:dyDescent="0.3">
      <c r="A172" s="7"/>
      <c r="B172" s="7"/>
      <c r="C172" s="7" t="s">
        <v>469</v>
      </c>
      <c r="D172" s="7"/>
      <c r="E172" s="103" t="s">
        <v>468</v>
      </c>
      <c r="F172" s="5">
        <f t="shared" si="25"/>
        <v>124</v>
      </c>
      <c r="G172" s="5"/>
      <c r="H172" s="5">
        <f t="shared" si="25"/>
        <v>124</v>
      </c>
      <c r="I172" s="5">
        <f t="shared" si="25"/>
        <v>124</v>
      </c>
      <c r="J172" s="382"/>
      <c r="K172" s="5">
        <f t="shared" si="25"/>
        <v>124</v>
      </c>
      <c r="L172" s="5">
        <f t="shared" si="25"/>
        <v>124</v>
      </c>
      <c r="M172" s="5"/>
      <c r="N172" s="5">
        <f t="shared" si="25"/>
        <v>124</v>
      </c>
    </row>
    <row r="173" spans="1:14" x14ac:dyDescent="0.3">
      <c r="A173" s="7"/>
      <c r="B173" s="7"/>
      <c r="C173" s="7"/>
      <c r="D173" s="7" t="s">
        <v>12</v>
      </c>
      <c r="E173" s="6" t="s">
        <v>11</v>
      </c>
      <c r="F173" s="5">
        <v>124</v>
      </c>
      <c r="G173" s="5"/>
      <c r="H173" s="5">
        <v>124</v>
      </c>
      <c r="I173" s="5">
        <v>124</v>
      </c>
      <c r="J173" s="382"/>
      <c r="K173" s="5">
        <v>124</v>
      </c>
      <c r="L173" s="5">
        <v>124</v>
      </c>
      <c r="M173" s="5"/>
      <c r="N173" s="5">
        <v>124</v>
      </c>
    </row>
    <row r="174" spans="1:14" x14ac:dyDescent="0.3">
      <c r="A174" s="223"/>
      <c r="B174" s="223"/>
      <c r="C174" s="223" t="s">
        <v>467</v>
      </c>
      <c r="D174" s="223"/>
      <c r="E174" s="236" t="s">
        <v>466</v>
      </c>
      <c r="F174" s="225">
        <f>F175+F177+F179+F181</f>
        <v>135.80000000000001</v>
      </c>
      <c r="G174" s="225"/>
      <c r="H174" s="225">
        <f>H175+H177+H179+H181</f>
        <v>135.80000000000001</v>
      </c>
      <c r="I174" s="225">
        <f>I175+I177+I179+I181</f>
        <v>135.80000000000001</v>
      </c>
      <c r="J174" s="379"/>
      <c r="K174" s="225">
        <f>K175+K177+K179+K181</f>
        <v>135.80000000000001</v>
      </c>
      <c r="L174" s="225">
        <f>L175+L177+L179+L181</f>
        <v>135.80000000000001</v>
      </c>
      <c r="M174" s="225"/>
      <c r="N174" s="225">
        <f>N175+N177+N179+N181</f>
        <v>135.80000000000001</v>
      </c>
    </row>
    <row r="175" spans="1:14" ht="27" x14ac:dyDescent="0.3">
      <c r="A175" s="8"/>
      <c r="B175" s="8"/>
      <c r="C175" s="7" t="s">
        <v>465</v>
      </c>
      <c r="D175" s="7"/>
      <c r="E175" s="103" t="s">
        <v>464</v>
      </c>
      <c r="F175" s="5">
        <f>F176</f>
        <v>40.4</v>
      </c>
      <c r="G175" s="5"/>
      <c r="H175" s="5">
        <f>H176</f>
        <v>40.4</v>
      </c>
      <c r="I175" s="5">
        <f>I176</f>
        <v>40.4</v>
      </c>
      <c r="J175" s="382"/>
      <c r="K175" s="5">
        <f>K176</f>
        <v>40.4</v>
      </c>
      <c r="L175" s="5">
        <f>L176</f>
        <v>40.4</v>
      </c>
      <c r="M175" s="5"/>
      <c r="N175" s="5">
        <f>N176</f>
        <v>40.4</v>
      </c>
    </row>
    <row r="176" spans="1:14" x14ac:dyDescent="0.3">
      <c r="A176" s="8"/>
      <c r="B176" s="8"/>
      <c r="C176" s="7"/>
      <c r="D176" s="7" t="s">
        <v>12</v>
      </c>
      <c r="E176" s="6" t="s">
        <v>11</v>
      </c>
      <c r="F176" s="5">
        <v>40.4</v>
      </c>
      <c r="G176" s="5"/>
      <c r="H176" s="5">
        <v>40.4</v>
      </c>
      <c r="I176" s="5">
        <v>40.4</v>
      </c>
      <c r="J176" s="382"/>
      <c r="K176" s="5">
        <v>40.4</v>
      </c>
      <c r="L176" s="5">
        <v>40.4</v>
      </c>
      <c r="M176" s="5"/>
      <c r="N176" s="5">
        <v>40.4</v>
      </c>
    </row>
    <row r="177" spans="1:14" x14ac:dyDescent="0.3">
      <c r="A177" s="8"/>
      <c r="B177" s="8"/>
      <c r="C177" s="7" t="s">
        <v>463</v>
      </c>
      <c r="D177" s="7"/>
      <c r="E177" s="103" t="s">
        <v>462</v>
      </c>
      <c r="F177" s="5">
        <f>F178</f>
        <v>40</v>
      </c>
      <c r="G177" s="5"/>
      <c r="H177" s="5">
        <f>H178</f>
        <v>40</v>
      </c>
      <c r="I177" s="5">
        <f>I178</f>
        <v>40</v>
      </c>
      <c r="J177" s="382"/>
      <c r="K177" s="5">
        <f>K178</f>
        <v>40</v>
      </c>
      <c r="L177" s="5">
        <f>L178</f>
        <v>40</v>
      </c>
      <c r="M177" s="5"/>
      <c r="N177" s="5">
        <f>N178</f>
        <v>40</v>
      </c>
    </row>
    <row r="178" spans="1:14" x14ac:dyDescent="0.3">
      <c r="A178" s="8"/>
      <c r="B178" s="8"/>
      <c r="C178" s="7"/>
      <c r="D178" s="7" t="s">
        <v>12</v>
      </c>
      <c r="E178" s="6" t="s">
        <v>11</v>
      </c>
      <c r="F178" s="5">
        <v>40</v>
      </c>
      <c r="G178" s="5"/>
      <c r="H178" s="5">
        <v>40</v>
      </c>
      <c r="I178" s="5">
        <v>40</v>
      </c>
      <c r="J178" s="382"/>
      <c r="K178" s="5">
        <v>40</v>
      </c>
      <c r="L178" s="5">
        <v>40</v>
      </c>
      <c r="M178" s="5"/>
      <c r="N178" s="5">
        <v>40</v>
      </c>
    </row>
    <row r="179" spans="1:14" x14ac:dyDescent="0.3">
      <c r="A179" s="8"/>
      <c r="B179" s="8"/>
      <c r="C179" s="7" t="s">
        <v>461</v>
      </c>
      <c r="D179" s="7"/>
      <c r="E179" s="103" t="s">
        <v>460</v>
      </c>
      <c r="F179" s="5">
        <f>F180</f>
        <v>26.6</v>
      </c>
      <c r="G179" s="5"/>
      <c r="H179" s="5">
        <f>H180</f>
        <v>26.6</v>
      </c>
      <c r="I179" s="5">
        <f>I180</f>
        <v>26.6</v>
      </c>
      <c r="J179" s="382"/>
      <c r="K179" s="5">
        <f>K180</f>
        <v>26.6</v>
      </c>
      <c r="L179" s="5">
        <f>L180</f>
        <v>26.6</v>
      </c>
      <c r="M179" s="5"/>
      <c r="N179" s="5">
        <f>N180</f>
        <v>26.6</v>
      </c>
    </row>
    <row r="180" spans="1:14" x14ac:dyDescent="0.3">
      <c r="A180" s="8"/>
      <c r="B180" s="8"/>
      <c r="C180" s="7"/>
      <c r="D180" s="7" t="s">
        <v>12</v>
      </c>
      <c r="E180" s="6" t="s">
        <v>11</v>
      </c>
      <c r="F180" s="5">
        <v>26.6</v>
      </c>
      <c r="G180" s="5"/>
      <c r="H180" s="5">
        <v>26.6</v>
      </c>
      <c r="I180" s="5">
        <v>26.6</v>
      </c>
      <c r="J180" s="382"/>
      <c r="K180" s="5">
        <v>26.6</v>
      </c>
      <c r="L180" s="5">
        <v>26.6</v>
      </c>
      <c r="M180" s="5"/>
      <c r="N180" s="5">
        <v>26.6</v>
      </c>
    </row>
    <row r="181" spans="1:14" x14ac:dyDescent="0.3">
      <c r="A181" s="8"/>
      <c r="B181" s="8"/>
      <c r="C181" s="7" t="s">
        <v>459</v>
      </c>
      <c r="D181" s="7"/>
      <c r="E181" s="103" t="s">
        <v>458</v>
      </c>
      <c r="F181" s="5">
        <f>F182</f>
        <v>28.8</v>
      </c>
      <c r="G181" s="5"/>
      <c r="H181" s="5">
        <f>H182</f>
        <v>28.8</v>
      </c>
      <c r="I181" s="5">
        <f>I182</f>
        <v>28.8</v>
      </c>
      <c r="J181" s="382"/>
      <c r="K181" s="5">
        <f>K182</f>
        <v>28.8</v>
      </c>
      <c r="L181" s="5">
        <f>L182</f>
        <v>28.8</v>
      </c>
      <c r="M181" s="5"/>
      <c r="N181" s="5">
        <f>N182</f>
        <v>28.8</v>
      </c>
    </row>
    <row r="182" spans="1:14" x14ac:dyDescent="0.3">
      <c r="A182" s="8"/>
      <c r="B182" s="8"/>
      <c r="C182" s="7"/>
      <c r="D182" s="7" t="s">
        <v>12</v>
      </c>
      <c r="E182" s="6" t="s">
        <v>11</v>
      </c>
      <c r="F182" s="5">
        <v>28.8</v>
      </c>
      <c r="G182" s="5"/>
      <c r="H182" s="5">
        <v>28.8</v>
      </c>
      <c r="I182" s="5">
        <v>28.8</v>
      </c>
      <c r="J182" s="382"/>
      <c r="K182" s="5">
        <v>28.8</v>
      </c>
      <c r="L182" s="5">
        <v>28.8</v>
      </c>
      <c r="M182" s="5"/>
      <c r="N182" s="5">
        <v>28.8</v>
      </c>
    </row>
    <row r="183" spans="1:14" ht="26.4" x14ac:dyDescent="0.3">
      <c r="A183" s="34"/>
      <c r="B183" s="34"/>
      <c r="C183" s="35" t="s">
        <v>313</v>
      </c>
      <c r="D183" s="34"/>
      <c r="E183" s="33" t="s">
        <v>312</v>
      </c>
      <c r="F183" s="32">
        <f t="shared" ref="F183:N186" si="26">F184</f>
        <v>119</v>
      </c>
      <c r="G183" s="32"/>
      <c r="H183" s="32">
        <f t="shared" si="26"/>
        <v>119</v>
      </c>
      <c r="I183" s="32">
        <f t="shared" si="26"/>
        <v>119</v>
      </c>
      <c r="J183" s="377"/>
      <c r="K183" s="32">
        <f t="shared" si="26"/>
        <v>119</v>
      </c>
      <c r="L183" s="32">
        <f t="shared" si="26"/>
        <v>119</v>
      </c>
      <c r="M183" s="32"/>
      <c r="N183" s="32">
        <f t="shared" si="26"/>
        <v>119</v>
      </c>
    </row>
    <row r="184" spans="1:14" ht="27" x14ac:dyDescent="0.3">
      <c r="A184" s="31"/>
      <c r="B184" s="31"/>
      <c r="C184" s="31" t="s">
        <v>311</v>
      </c>
      <c r="D184" s="31"/>
      <c r="E184" s="83" t="s">
        <v>310</v>
      </c>
      <c r="F184" s="29">
        <f t="shared" si="26"/>
        <v>119</v>
      </c>
      <c r="G184" s="29"/>
      <c r="H184" s="29">
        <f t="shared" si="26"/>
        <v>119</v>
      </c>
      <c r="I184" s="29">
        <f t="shared" si="26"/>
        <v>119</v>
      </c>
      <c r="J184" s="378"/>
      <c r="K184" s="29">
        <f t="shared" si="26"/>
        <v>119</v>
      </c>
      <c r="L184" s="29">
        <f t="shared" si="26"/>
        <v>119</v>
      </c>
      <c r="M184" s="29"/>
      <c r="N184" s="29">
        <f t="shared" si="26"/>
        <v>119</v>
      </c>
    </row>
    <row r="185" spans="1:14" ht="27" x14ac:dyDescent="0.3">
      <c r="A185" s="223"/>
      <c r="B185" s="223"/>
      <c r="C185" s="223" t="s">
        <v>457</v>
      </c>
      <c r="D185" s="231"/>
      <c r="E185" s="236" t="s">
        <v>456</v>
      </c>
      <c r="F185" s="225">
        <f t="shared" si="26"/>
        <v>119</v>
      </c>
      <c r="G185" s="225"/>
      <c r="H185" s="225">
        <f t="shared" si="26"/>
        <v>119</v>
      </c>
      <c r="I185" s="225">
        <f t="shared" si="26"/>
        <v>119</v>
      </c>
      <c r="J185" s="379"/>
      <c r="K185" s="225">
        <f t="shared" si="26"/>
        <v>119</v>
      </c>
      <c r="L185" s="225">
        <f t="shared" si="26"/>
        <v>119</v>
      </c>
      <c r="M185" s="225"/>
      <c r="N185" s="225">
        <f t="shared" si="26"/>
        <v>119</v>
      </c>
    </row>
    <row r="186" spans="1:14" ht="26.4" x14ac:dyDescent="0.3">
      <c r="A186" s="8"/>
      <c r="B186" s="8"/>
      <c r="C186" s="55" t="s">
        <v>455</v>
      </c>
      <c r="D186" s="55"/>
      <c r="E186" s="10" t="s">
        <v>454</v>
      </c>
      <c r="F186" s="5">
        <f t="shared" si="26"/>
        <v>119</v>
      </c>
      <c r="G186" s="5"/>
      <c r="H186" s="5">
        <f t="shared" si="26"/>
        <v>119</v>
      </c>
      <c r="I186" s="5">
        <f t="shared" si="26"/>
        <v>119</v>
      </c>
      <c r="J186" s="382"/>
      <c r="K186" s="5">
        <f t="shared" si="26"/>
        <v>119</v>
      </c>
      <c r="L186" s="5">
        <f t="shared" si="26"/>
        <v>119</v>
      </c>
      <c r="M186" s="5"/>
      <c r="N186" s="5">
        <f t="shared" si="26"/>
        <v>119</v>
      </c>
    </row>
    <row r="187" spans="1:14" x14ac:dyDescent="0.3">
      <c r="A187" s="8"/>
      <c r="B187" s="8"/>
      <c r="C187" s="55"/>
      <c r="D187" s="7" t="s">
        <v>12</v>
      </c>
      <c r="E187" s="6" t="s">
        <v>11</v>
      </c>
      <c r="F187" s="5">
        <v>119</v>
      </c>
      <c r="G187" s="5"/>
      <c r="H187" s="5">
        <v>119</v>
      </c>
      <c r="I187" s="5">
        <v>119</v>
      </c>
      <c r="J187" s="382"/>
      <c r="K187" s="5">
        <v>119</v>
      </c>
      <c r="L187" s="5">
        <v>119</v>
      </c>
      <c r="M187" s="5"/>
      <c r="N187" s="5">
        <v>119</v>
      </c>
    </row>
    <row r="188" spans="1:14" x14ac:dyDescent="0.3">
      <c r="A188" s="114"/>
      <c r="B188" s="114"/>
      <c r="C188" s="49" t="s">
        <v>52</v>
      </c>
      <c r="D188" s="48"/>
      <c r="E188" s="113" t="s">
        <v>51</v>
      </c>
      <c r="F188" s="112">
        <f t="shared" ref="F188:N190" si="27">F189</f>
        <v>556.4</v>
      </c>
      <c r="G188" s="112"/>
      <c r="H188" s="112">
        <f t="shared" si="27"/>
        <v>556.4</v>
      </c>
      <c r="I188" s="112">
        <f t="shared" si="27"/>
        <v>556.4</v>
      </c>
      <c r="J188" s="384"/>
      <c r="K188" s="112">
        <f t="shared" si="27"/>
        <v>556.4</v>
      </c>
      <c r="L188" s="112">
        <f t="shared" si="27"/>
        <v>556.4</v>
      </c>
      <c r="M188" s="112"/>
      <c r="N188" s="112">
        <f t="shared" si="27"/>
        <v>556.4</v>
      </c>
    </row>
    <row r="189" spans="1:14" ht="26.4" x14ac:dyDescent="0.3">
      <c r="A189" s="107"/>
      <c r="B189" s="107"/>
      <c r="C189" s="45" t="s">
        <v>16</v>
      </c>
      <c r="D189" s="44"/>
      <c r="E189" s="89" t="s">
        <v>15</v>
      </c>
      <c r="F189" s="111">
        <f t="shared" si="27"/>
        <v>556.4</v>
      </c>
      <c r="G189" s="111"/>
      <c r="H189" s="111">
        <f t="shared" si="27"/>
        <v>556.4</v>
      </c>
      <c r="I189" s="111">
        <f t="shared" si="27"/>
        <v>556.4</v>
      </c>
      <c r="J189" s="394"/>
      <c r="K189" s="111">
        <f t="shared" si="27"/>
        <v>556.4</v>
      </c>
      <c r="L189" s="111">
        <f t="shared" si="27"/>
        <v>556.4</v>
      </c>
      <c r="M189" s="111"/>
      <c r="N189" s="111">
        <f t="shared" si="27"/>
        <v>556.4</v>
      </c>
    </row>
    <row r="190" spans="1:14" ht="26.4" x14ac:dyDescent="0.3">
      <c r="A190" s="8"/>
      <c r="B190" s="8"/>
      <c r="C190" s="7" t="s">
        <v>810</v>
      </c>
      <c r="D190" s="7"/>
      <c r="E190" s="317" t="s">
        <v>843</v>
      </c>
      <c r="F190" s="9">
        <f t="shared" si="27"/>
        <v>556.4</v>
      </c>
      <c r="G190" s="9"/>
      <c r="H190" s="9">
        <f t="shared" si="27"/>
        <v>556.4</v>
      </c>
      <c r="I190" s="9">
        <f t="shared" si="27"/>
        <v>556.4</v>
      </c>
      <c r="J190" s="380"/>
      <c r="K190" s="9">
        <f t="shared" si="27"/>
        <v>556.4</v>
      </c>
      <c r="L190" s="9">
        <f t="shared" si="27"/>
        <v>556.4</v>
      </c>
      <c r="M190" s="9"/>
      <c r="N190" s="9">
        <f t="shared" si="27"/>
        <v>556.4</v>
      </c>
    </row>
    <row r="191" spans="1:14" ht="27" x14ac:dyDescent="0.3">
      <c r="A191" s="8"/>
      <c r="B191" s="8"/>
      <c r="C191" s="7"/>
      <c r="D191" s="7" t="s">
        <v>57</v>
      </c>
      <c r="E191" s="6" t="s">
        <v>56</v>
      </c>
      <c r="F191" s="9">
        <v>556.4</v>
      </c>
      <c r="G191" s="9"/>
      <c r="H191" s="9">
        <v>556.4</v>
      </c>
      <c r="I191" s="9">
        <v>556.4</v>
      </c>
      <c r="J191" s="380"/>
      <c r="K191" s="9">
        <v>556.4</v>
      </c>
      <c r="L191" s="9">
        <v>556.4</v>
      </c>
      <c r="M191" s="9"/>
      <c r="N191" s="9">
        <v>556.4</v>
      </c>
    </row>
    <row r="192" spans="1:14" x14ac:dyDescent="0.3">
      <c r="A192" s="21"/>
      <c r="B192" s="23" t="s">
        <v>453</v>
      </c>
      <c r="C192" s="22"/>
      <c r="D192" s="21"/>
      <c r="E192" s="20" t="s">
        <v>452</v>
      </c>
      <c r="F192" s="19">
        <f>F194</f>
        <v>5341.6</v>
      </c>
      <c r="G192" s="19"/>
      <c r="H192" s="19">
        <f>H194</f>
        <v>5341.6</v>
      </c>
      <c r="I192" s="19">
        <f>I194</f>
        <v>5341.6</v>
      </c>
      <c r="J192" s="386"/>
      <c r="K192" s="19">
        <f>K194</f>
        <v>5341.6</v>
      </c>
      <c r="L192" s="19">
        <f>L194</f>
        <v>5341.6</v>
      </c>
      <c r="M192" s="19"/>
      <c r="N192" s="19">
        <f>N194</f>
        <v>5341.6</v>
      </c>
    </row>
    <row r="193" spans="1:14" x14ac:dyDescent="0.3">
      <c r="A193" s="21"/>
      <c r="B193" s="23"/>
      <c r="C193" s="22" t="s">
        <v>36</v>
      </c>
      <c r="D193" s="21"/>
      <c r="E193" s="28" t="s">
        <v>35</v>
      </c>
      <c r="F193" s="19">
        <f t="shared" ref="F193:N197" si="28">F194</f>
        <v>5341.6</v>
      </c>
      <c r="G193" s="19"/>
      <c r="H193" s="19">
        <f t="shared" si="28"/>
        <v>5341.6</v>
      </c>
      <c r="I193" s="19">
        <f t="shared" si="28"/>
        <v>5341.6</v>
      </c>
      <c r="J193" s="386"/>
      <c r="K193" s="19">
        <f t="shared" si="28"/>
        <v>5341.6</v>
      </c>
      <c r="L193" s="19">
        <f t="shared" si="28"/>
        <v>5341.6</v>
      </c>
      <c r="M193" s="19"/>
      <c r="N193" s="19">
        <f t="shared" si="28"/>
        <v>5341.6</v>
      </c>
    </row>
    <row r="194" spans="1:14" ht="26.4" x14ac:dyDescent="0.3">
      <c r="A194" s="34"/>
      <c r="B194" s="34"/>
      <c r="C194" s="35" t="s">
        <v>444</v>
      </c>
      <c r="D194" s="34"/>
      <c r="E194" s="33" t="s">
        <v>443</v>
      </c>
      <c r="F194" s="32">
        <f t="shared" si="28"/>
        <v>5341.6</v>
      </c>
      <c r="G194" s="32"/>
      <c r="H194" s="32">
        <f t="shared" si="28"/>
        <v>5341.6</v>
      </c>
      <c r="I194" s="32">
        <f t="shared" si="28"/>
        <v>5341.6</v>
      </c>
      <c r="J194" s="377"/>
      <c r="K194" s="32">
        <f t="shared" si="28"/>
        <v>5341.6</v>
      </c>
      <c r="L194" s="32">
        <f t="shared" si="28"/>
        <v>5341.6</v>
      </c>
      <c r="M194" s="32"/>
      <c r="N194" s="32">
        <f t="shared" si="28"/>
        <v>5341.6</v>
      </c>
    </row>
    <row r="195" spans="1:14" ht="27" x14ac:dyDescent="0.3">
      <c r="A195" s="31"/>
      <c r="B195" s="31"/>
      <c r="C195" s="31" t="s">
        <v>451</v>
      </c>
      <c r="D195" s="31"/>
      <c r="E195" s="52" t="s">
        <v>450</v>
      </c>
      <c r="F195" s="29">
        <f t="shared" si="28"/>
        <v>5341.6</v>
      </c>
      <c r="G195" s="29"/>
      <c r="H195" s="29">
        <f t="shared" si="28"/>
        <v>5341.6</v>
      </c>
      <c r="I195" s="29">
        <f t="shared" si="28"/>
        <v>5341.6</v>
      </c>
      <c r="J195" s="378"/>
      <c r="K195" s="29">
        <f t="shared" si="28"/>
        <v>5341.6</v>
      </c>
      <c r="L195" s="29">
        <f t="shared" si="28"/>
        <v>5341.6</v>
      </c>
      <c r="M195" s="29"/>
      <c r="N195" s="29">
        <f t="shared" si="28"/>
        <v>5341.6</v>
      </c>
    </row>
    <row r="196" spans="1:14" ht="27" x14ac:dyDescent="0.3">
      <c r="A196" s="223"/>
      <c r="B196" s="223"/>
      <c r="C196" s="223" t="s">
        <v>449</v>
      </c>
      <c r="D196" s="223"/>
      <c r="E196" s="224" t="s">
        <v>448</v>
      </c>
      <c r="F196" s="225">
        <f t="shared" si="28"/>
        <v>5341.6</v>
      </c>
      <c r="G196" s="225"/>
      <c r="H196" s="225">
        <f t="shared" si="28"/>
        <v>5341.6</v>
      </c>
      <c r="I196" s="225">
        <f t="shared" si="28"/>
        <v>5341.6</v>
      </c>
      <c r="J196" s="379"/>
      <c r="K196" s="225">
        <f t="shared" si="28"/>
        <v>5341.6</v>
      </c>
      <c r="L196" s="225">
        <f t="shared" si="28"/>
        <v>5341.6</v>
      </c>
      <c r="M196" s="225"/>
      <c r="N196" s="225">
        <f t="shared" si="28"/>
        <v>5341.6</v>
      </c>
    </row>
    <row r="197" spans="1:14" ht="40.200000000000003" x14ac:dyDescent="0.3">
      <c r="A197" s="8"/>
      <c r="B197" s="8"/>
      <c r="C197" s="7" t="s">
        <v>447</v>
      </c>
      <c r="D197" s="61"/>
      <c r="E197" s="6" t="s">
        <v>654</v>
      </c>
      <c r="F197" s="9">
        <f t="shared" si="28"/>
        <v>5341.6</v>
      </c>
      <c r="G197" s="9"/>
      <c r="H197" s="9">
        <f t="shared" si="28"/>
        <v>5341.6</v>
      </c>
      <c r="I197" s="9">
        <f t="shared" si="28"/>
        <v>5341.6</v>
      </c>
      <c r="J197" s="380"/>
      <c r="K197" s="9">
        <f t="shared" si="28"/>
        <v>5341.6</v>
      </c>
      <c r="L197" s="9">
        <f t="shared" si="28"/>
        <v>5341.6</v>
      </c>
      <c r="M197" s="9"/>
      <c r="N197" s="9">
        <f t="shared" si="28"/>
        <v>5341.6</v>
      </c>
    </row>
    <row r="198" spans="1:14" x14ac:dyDescent="0.3">
      <c r="A198" s="8"/>
      <c r="B198" s="8"/>
      <c r="C198" s="7"/>
      <c r="D198" s="7" t="s">
        <v>12</v>
      </c>
      <c r="E198" s="6" t="s">
        <v>11</v>
      </c>
      <c r="F198" s="9">
        <v>5341.6</v>
      </c>
      <c r="G198" s="9"/>
      <c r="H198" s="9">
        <v>5341.6</v>
      </c>
      <c r="I198" s="9">
        <v>5341.6</v>
      </c>
      <c r="J198" s="380"/>
      <c r="K198" s="9">
        <v>5341.6</v>
      </c>
      <c r="L198" s="9">
        <v>5341.6</v>
      </c>
      <c r="M198" s="9"/>
      <c r="N198" s="9">
        <v>5341.6</v>
      </c>
    </row>
    <row r="199" spans="1:14" x14ac:dyDescent="0.3">
      <c r="A199" s="37"/>
      <c r="B199" s="23" t="s">
        <v>446</v>
      </c>
      <c r="C199" s="22"/>
      <c r="D199" s="21"/>
      <c r="E199" s="20" t="s">
        <v>445</v>
      </c>
      <c r="F199" s="19">
        <f t="shared" ref="F199:N200" si="29">F200</f>
        <v>127367.76888</v>
      </c>
      <c r="G199" s="19">
        <f t="shared" si="29"/>
        <v>32.700000000000003</v>
      </c>
      <c r="H199" s="19">
        <f t="shared" si="29"/>
        <v>127400.46888</v>
      </c>
      <c r="I199" s="19">
        <f t="shared" si="29"/>
        <v>60946.680500000002</v>
      </c>
      <c r="J199" s="19">
        <f t="shared" si="29"/>
        <v>2115.9315699999997</v>
      </c>
      <c r="K199" s="19">
        <f t="shared" si="29"/>
        <v>63062.612069999996</v>
      </c>
      <c r="L199" s="19">
        <f t="shared" si="29"/>
        <v>59618.9</v>
      </c>
      <c r="M199" s="19">
        <f t="shared" si="29"/>
        <v>0</v>
      </c>
      <c r="N199" s="19">
        <f t="shared" si="29"/>
        <v>59618.9</v>
      </c>
    </row>
    <row r="200" spans="1:14" x14ac:dyDescent="0.3">
      <c r="A200" s="37"/>
      <c r="B200" s="23"/>
      <c r="C200" s="22" t="s">
        <v>36</v>
      </c>
      <c r="D200" s="21"/>
      <c r="E200" s="28" t="s">
        <v>35</v>
      </c>
      <c r="F200" s="19">
        <f t="shared" si="29"/>
        <v>127367.76888</v>
      </c>
      <c r="G200" s="19">
        <f t="shared" si="29"/>
        <v>32.700000000000003</v>
      </c>
      <c r="H200" s="19">
        <f t="shared" si="29"/>
        <v>127400.46888</v>
      </c>
      <c r="I200" s="19">
        <f t="shared" si="29"/>
        <v>60946.680500000002</v>
      </c>
      <c r="J200" s="19">
        <f t="shared" si="29"/>
        <v>2115.9315699999997</v>
      </c>
      <c r="K200" s="19">
        <f t="shared" si="29"/>
        <v>63062.612069999996</v>
      </c>
      <c r="L200" s="19">
        <f t="shared" si="29"/>
        <v>59618.9</v>
      </c>
      <c r="M200" s="19">
        <f t="shared" si="29"/>
        <v>0</v>
      </c>
      <c r="N200" s="19">
        <f t="shared" si="29"/>
        <v>59618.9</v>
      </c>
    </row>
    <row r="201" spans="1:14" ht="26.4" x14ac:dyDescent="0.3">
      <c r="A201" s="34"/>
      <c r="B201" s="34"/>
      <c r="C201" s="35" t="s">
        <v>444</v>
      </c>
      <c r="D201" s="34"/>
      <c r="E201" s="33" t="s">
        <v>443</v>
      </c>
      <c r="F201" s="32">
        <f t="shared" ref="F201:M201" si="30">F202+F235</f>
        <v>127367.76888</v>
      </c>
      <c r="G201" s="32">
        <f t="shared" si="30"/>
        <v>32.700000000000003</v>
      </c>
      <c r="H201" s="32">
        <f t="shared" si="30"/>
        <v>127400.46888</v>
      </c>
      <c r="I201" s="32">
        <f t="shared" si="30"/>
        <v>60946.680500000002</v>
      </c>
      <c r="J201" s="32">
        <f t="shared" si="30"/>
        <v>2115.9315699999997</v>
      </c>
      <c r="K201" s="32">
        <f t="shared" si="30"/>
        <v>63062.612069999996</v>
      </c>
      <c r="L201" s="32">
        <f t="shared" si="30"/>
        <v>59618.9</v>
      </c>
      <c r="M201" s="32">
        <f t="shared" si="30"/>
        <v>0</v>
      </c>
      <c r="N201" s="32">
        <f>N202+N235</f>
        <v>59618.9</v>
      </c>
    </row>
    <row r="202" spans="1:14" ht="27" x14ac:dyDescent="0.3">
      <c r="A202" s="31"/>
      <c r="B202" s="31"/>
      <c r="C202" s="31" t="s">
        <v>442</v>
      </c>
      <c r="D202" s="31"/>
      <c r="E202" s="52" t="s">
        <v>441</v>
      </c>
      <c r="F202" s="29">
        <f>F203+F208+F211+F220+F223</f>
        <v>126469.56888000001</v>
      </c>
      <c r="G202" s="29">
        <f>G203+G208+G211+G220+G223+G229</f>
        <v>0</v>
      </c>
      <c r="H202" s="29">
        <f>H203+H208+H211+H220+H223+H229</f>
        <v>126469.56888000001</v>
      </c>
      <c r="I202" s="29">
        <f>I203+I208+I211+I220+I223</f>
        <v>60946.680500000002</v>
      </c>
      <c r="J202" s="29">
        <f>J203+J208+J211+J220+J223+J229</f>
        <v>1815.5315699999999</v>
      </c>
      <c r="K202" s="29">
        <f>K203+K208+K211+K220+K223+K229</f>
        <v>62762.212069999994</v>
      </c>
      <c r="L202" s="29">
        <f>L203+L208+L211+L220+L223</f>
        <v>59618.9</v>
      </c>
      <c r="M202" s="29">
        <f>M203+M208+M211+M220+M223</f>
        <v>0</v>
      </c>
      <c r="N202" s="29">
        <f>N203+N208+N211+N220+N223</f>
        <v>59618.9</v>
      </c>
    </row>
    <row r="203" spans="1:14" ht="27" x14ac:dyDescent="0.3">
      <c r="A203" s="223"/>
      <c r="B203" s="223"/>
      <c r="C203" s="223" t="s">
        <v>440</v>
      </c>
      <c r="D203" s="223"/>
      <c r="E203" s="224" t="s">
        <v>921</v>
      </c>
      <c r="F203" s="225">
        <f>F204+F206</f>
        <v>542.79999999999995</v>
      </c>
      <c r="G203" s="225">
        <f t="shared" ref="G203:N203" si="31">G204+G206</f>
        <v>0</v>
      </c>
      <c r="H203" s="225">
        <f t="shared" si="31"/>
        <v>542.79999999999995</v>
      </c>
      <c r="I203" s="225">
        <f t="shared" si="31"/>
        <v>542.79999999999995</v>
      </c>
      <c r="J203" s="225"/>
      <c r="K203" s="225">
        <f t="shared" si="31"/>
        <v>542.79999999999995</v>
      </c>
      <c r="L203" s="225">
        <f t="shared" si="31"/>
        <v>542.79999999999995</v>
      </c>
      <c r="M203" s="225"/>
      <c r="N203" s="225">
        <f t="shared" si="31"/>
        <v>542.79999999999995</v>
      </c>
    </row>
    <row r="204" spans="1:14" ht="27" x14ac:dyDescent="0.3">
      <c r="A204" s="7"/>
      <c r="B204" s="7"/>
      <c r="C204" s="7" t="s">
        <v>841</v>
      </c>
      <c r="D204" s="61"/>
      <c r="E204" s="6" t="s">
        <v>439</v>
      </c>
      <c r="F204" s="9">
        <f>SUM(F205)</f>
        <v>542.79999999999995</v>
      </c>
      <c r="G204" s="9">
        <f>SUM(G205)</f>
        <v>-539.5</v>
      </c>
      <c r="H204" s="9">
        <f>SUM(H205)</f>
        <v>3.2999999999999545</v>
      </c>
      <c r="I204" s="9">
        <f>SUM(I205)</f>
        <v>542.79999999999995</v>
      </c>
      <c r="J204" s="380"/>
      <c r="K204" s="9">
        <f>SUM(K205)</f>
        <v>542.79999999999995</v>
      </c>
      <c r="L204" s="9">
        <f>SUM(L205)</f>
        <v>542.79999999999995</v>
      </c>
      <c r="M204" s="9"/>
      <c r="N204" s="9">
        <f>SUM(N205)</f>
        <v>542.79999999999995</v>
      </c>
    </row>
    <row r="205" spans="1:14" x14ac:dyDescent="0.3">
      <c r="A205" s="7"/>
      <c r="B205" s="7"/>
      <c r="C205" s="7"/>
      <c r="D205" s="7" t="s">
        <v>12</v>
      </c>
      <c r="E205" s="6" t="s">
        <v>11</v>
      </c>
      <c r="F205" s="9">
        <v>542.79999999999995</v>
      </c>
      <c r="G205" s="9">
        <v>-539.5</v>
      </c>
      <c r="H205" s="9">
        <f>542.8-539.5</f>
        <v>3.2999999999999545</v>
      </c>
      <c r="I205" s="9">
        <v>542.79999999999995</v>
      </c>
      <c r="J205" s="380"/>
      <c r="K205" s="9">
        <v>542.79999999999995</v>
      </c>
      <c r="L205" s="9">
        <v>542.79999999999995</v>
      </c>
      <c r="M205" s="9"/>
      <c r="N205" s="9">
        <v>542.79999999999995</v>
      </c>
    </row>
    <row r="206" spans="1:14" x14ac:dyDescent="0.3">
      <c r="A206" s="7"/>
      <c r="B206" s="7"/>
      <c r="C206" s="7" t="s">
        <v>920</v>
      </c>
      <c r="D206" s="61"/>
      <c r="E206" s="6" t="s">
        <v>919</v>
      </c>
      <c r="F206" s="9">
        <f>SUM(F207)</f>
        <v>0</v>
      </c>
      <c r="G206" s="9">
        <f>SUM(G207)</f>
        <v>539.5</v>
      </c>
      <c r="H206" s="9">
        <f>SUM(H207)</f>
        <v>539.5</v>
      </c>
      <c r="I206" s="9">
        <f>SUM(I207)</f>
        <v>0</v>
      </c>
      <c r="J206" s="380"/>
      <c r="K206" s="9">
        <f>SUM(K207)</f>
        <v>0</v>
      </c>
      <c r="L206" s="9">
        <f>SUM(L207)</f>
        <v>0</v>
      </c>
      <c r="M206" s="9"/>
      <c r="N206" s="9">
        <f>SUM(N207)</f>
        <v>0</v>
      </c>
    </row>
    <row r="207" spans="1:14" x14ac:dyDescent="0.3">
      <c r="A207" s="7"/>
      <c r="B207" s="7"/>
      <c r="C207" s="7"/>
      <c r="D207" s="7" t="s">
        <v>12</v>
      </c>
      <c r="E207" s="6" t="s">
        <v>11</v>
      </c>
      <c r="F207" s="9">
        <v>0</v>
      </c>
      <c r="G207" s="9">
        <v>539.5</v>
      </c>
      <c r="H207" s="9">
        <v>539.5</v>
      </c>
      <c r="I207" s="9">
        <v>0</v>
      </c>
      <c r="J207" s="380"/>
      <c r="K207" s="9">
        <v>0</v>
      </c>
      <c r="L207" s="9">
        <v>0</v>
      </c>
      <c r="M207" s="9"/>
      <c r="N207" s="9">
        <v>0</v>
      </c>
    </row>
    <row r="208" spans="1:14" x14ac:dyDescent="0.3">
      <c r="A208" s="223"/>
      <c r="B208" s="223"/>
      <c r="C208" s="223" t="s">
        <v>438</v>
      </c>
      <c r="D208" s="223"/>
      <c r="E208" s="224" t="s">
        <v>437</v>
      </c>
      <c r="F208" s="225">
        <f>F209</f>
        <v>285</v>
      </c>
      <c r="G208" s="225"/>
      <c r="H208" s="225">
        <f>H209</f>
        <v>285</v>
      </c>
      <c r="I208" s="225">
        <f>I209</f>
        <v>0</v>
      </c>
      <c r="J208" s="379"/>
      <c r="K208" s="225">
        <f>K209</f>
        <v>0</v>
      </c>
      <c r="L208" s="225">
        <f>L209</f>
        <v>0</v>
      </c>
      <c r="M208" s="225"/>
      <c r="N208" s="225">
        <f>N209</f>
        <v>0</v>
      </c>
    </row>
    <row r="209" spans="1:14" ht="27" x14ac:dyDescent="0.3">
      <c r="A209" s="7"/>
      <c r="B209" s="7"/>
      <c r="C209" s="7" t="s">
        <v>840</v>
      </c>
      <c r="D209" s="61"/>
      <c r="E209" s="6" t="s">
        <v>620</v>
      </c>
      <c r="F209" s="9">
        <f>F210</f>
        <v>285</v>
      </c>
      <c r="G209" s="9"/>
      <c r="H209" s="9">
        <f>H210</f>
        <v>285</v>
      </c>
      <c r="I209" s="9">
        <f>SUM(I210)</f>
        <v>0</v>
      </c>
      <c r="J209" s="380"/>
      <c r="K209" s="9">
        <f>SUM(K210)</f>
        <v>0</v>
      </c>
      <c r="L209" s="9">
        <f>SUM(L210)</f>
        <v>0</v>
      </c>
      <c r="M209" s="9"/>
      <c r="N209" s="9">
        <f>SUM(N210)</f>
        <v>0</v>
      </c>
    </row>
    <row r="210" spans="1:14" x14ac:dyDescent="0.3">
      <c r="A210" s="7"/>
      <c r="B210" s="7"/>
      <c r="C210" s="7"/>
      <c r="D210" s="7" t="s">
        <v>12</v>
      </c>
      <c r="E210" s="6" t="s">
        <v>11</v>
      </c>
      <c r="F210" s="9">
        <v>285</v>
      </c>
      <c r="G210" s="9"/>
      <c r="H210" s="9">
        <v>285</v>
      </c>
      <c r="I210" s="9">
        <v>0</v>
      </c>
      <c r="J210" s="380"/>
      <c r="K210" s="9">
        <v>0</v>
      </c>
      <c r="L210" s="9">
        <v>0</v>
      </c>
      <c r="M210" s="9"/>
      <c r="N210" s="9">
        <v>0</v>
      </c>
    </row>
    <row r="211" spans="1:14" ht="27" x14ac:dyDescent="0.3">
      <c r="A211" s="223"/>
      <c r="B211" s="223"/>
      <c r="C211" s="223" t="s">
        <v>436</v>
      </c>
      <c r="D211" s="223"/>
      <c r="E211" s="224" t="s">
        <v>435</v>
      </c>
      <c r="F211" s="225">
        <f>F212+F216+F218</f>
        <v>43526.311170000001</v>
      </c>
      <c r="G211" s="225"/>
      <c r="H211" s="225">
        <f>H212+H216+H218</f>
        <v>43526.311170000001</v>
      </c>
      <c r="I211" s="225">
        <f>I212+I216+I218</f>
        <v>27092.2</v>
      </c>
      <c r="J211" s="225">
        <f>J212+J216+J218</f>
        <v>1688.3</v>
      </c>
      <c r="K211" s="225">
        <f>K212+K216+K218</f>
        <v>28780.5</v>
      </c>
      <c r="L211" s="225">
        <f>L212+L216+L218</f>
        <v>27092.2</v>
      </c>
      <c r="M211" s="225"/>
      <c r="N211" s="225">
        <f>N212+N216+N218</f>
        <v>27092.2</v>
      </c>
    </row>
    <row r="212" spans="1:14" x14ac:dyDescent="0.3">
      <c r="A212" s="7"/>
      <c r="B212" s="7"/>
      <c r="C212" s="7" t="s">
        <v>835</v>
      </c>
      <c r="D212" s="61"/>
      <c r="E212" s="6" t="s">
        <v>434</v>
      </c>
      <c r="F212" s="9">
        <f>F214+F215</f>
        <v>29030.11117</v>
      </c>
      <c r="G212" s="9"/>
      <c r="H212" s="9">
        <f>H214+H215</f>
        <v>29030.11117</v>
      </c>
      <c r="I212" s="9">
        <f>I214+I215</f>
        <v>27092.2</v>
      </c>
      <c r="J212" s="380"/>
      <c r="K212" s="9">
        <f>K214+K215</f>
        <v>27092.2</v>
      </c>
      <c r="L212" s="9">
        <f>L214+L215</f>
        <v>27092.2</v>
      </c>
      <c r="M212" s="9"/>
      <c r="N212" s="9">
        <f>N214+N215</f>
        <v>27092.2</v>
      </c>
    </row>
    <row r="213" spans="1:14" x14ac:dyDescent="0.3">
      <c r="A213" s="7"/>
      <c r="B213" s="7"/>
      <c r="C213" s="7"/>
      <c r="D213" s="7" t="s">
        <v>12</v>
      </c>
      <c r="E213" s="6" t="s">
        <v>11</v>
      </c>
      <c r="F213" s="9">
        <f>SUM(F214+F215)</f>
        <v>29030.11117</v>
      </c>
      <c r="G213" s="9"/>
      <c r="H213" s="9">
        <f>SUM(H214+H215)</f>
        <v>29030.11117</v>
      </c>
      <c r="I213" s="9">
        <f>SUM(I214+I215)</f>
        <v>27092.2</v>
      </c>
      <c r="J213" s="380"/>
      <c r="K213" s="9">
        <f>SUM(K214+K215)</f>
        <v>27092.2</v>
      </c>
      <c r="L213" s="9">
        <f>SUM(L214+L215)</f>
        <v>27092.2</v>
      </c>
      <c r="M213" s="9"/>
      <c r="N213" s="9">
        <f>SUM(N214+N215)</f>
        <v>27092.2</v>
      </c>
    </row>
    <row r="214" spans="1:14" x14ac:dyDescent="0.3">
      <c r="A214" s="7"/>
      <c r="B214" s="7"/>
      <c r="C214" s="7"/>
      <c r="D214" s="7"/>
      <c r="E214" s="6" t="s">
        <v>238</v>
      </c>
      <c r="F214" s="9">
        <v>26127.1</v>
      </c>
      <c r="G214" s="9"/>
      <c r="H214" s="9">
        <v>26127.1</v>
      </c>
      <c r="I214" s="9">
        <v>24383</v>
      </c>
      <c r="J214" s="380"/>
      <c r="K214" s="9">
        <v>24383</v>
      </c>
      <c r="L214" s="9">
        <v>24383</v>
      </c>
      <c r="M214" s="9"/>
      <c r="N214" s="9">
        <v>24383</v>
      </c>
    </row>
    <row r="215" spans="1:14" x14ac:dyDescent="0.3">
      <c r="A215" s="7"/>
      <c r="B215" s="7"/>
      <c r="C215" s="7"/>
      <c r="D215" s="7"/>
      <c r="E215" s="6" t="s">
        <v>106</v>
      </c>
      <c r="F215" s="9">
        <v>2903.0111700000002</v>
      </c>
      <c r="G215" s="9"/>
      <c r="H215" s="9">
        <v>2903.0111700000002</v>
      </c>
      <c r="I215" s="9">
        <v>2709.2</v>
      </c>
      <c r="J215" s="380"/>
      <c r="K215" s="9">
        <v>2709.2</v>
      </c>
      <c r="L215" s="9">
        <v>2709.2</v>
      </c>
      <c r="M215" s="9"/>
      <c r="N215" s="9">
        <v>2709.2</v>
      </c>
    </row>
    <row r="216" spans="1:14" x14ac:dyDescent="0.3">
      <c r="A216" s="7"/>
      <c r="B216" s="7"/>
      <c r="C216" s="7" t="s">
        <v>839</v>
      </c>
      <c r="D216" s="61"/>
      <c r="E216" s="6" t="s">
        <v>433</v>
      </c>
      <c r="F216" s="9">
        <f>F217</f>
        <v>4858.5</v>
      </c>
      <c r="G216" s="9"/>
      <c r="H216" s="9">
        <f>H217</f>
        <v>4858.5</v>
      </c>
      <c r="I216" s="9">
        <f>I217</f>
        <v>0</v>
      </c>
      <c r="J216" s="9">
        <f>J217</f>
        <v>1688.3</v>
      </c>
      <c r="K216" s="9">
        <f>K217</f>
        <v>1688.3</v>
      </c>
      <c r="L216" s="9">
        <f>L217</f>
        <v>0</v>
      </c>
      <c r="M216" s="9"/>
      <c r="N216" s="9">
        <f>N217</f>
        <v>0</v>
      </c>
    </row>
    <row r="217" spans="1:14" x14ac:dyDescent="0.3">
      <c r="A217" s="7"/>
      <c r="B217" s="7"/>
      <c r="C217" s="7"/>
      <c r="D217" s="7" t="s">
        <v>12</v>
      </c>
      <c r="E217" s="6" t="s">
        <v>11</v>
      </c>
      <c r="F217" s="9">
        <f>4060.9+797.6</f>
        <v>4858.5</v>
      </c>
      <c r="G217" s="9"/>
      <c r="H217" s="9">
        <f>4060.9+797.6</f>
        <v>4858.5</v>
      </c>
      <c r="I217" s="9">
        <v>0</v>
      </c>
      <c r="J217" s="380">
        <f>488.3+1200</f>
        <v>1688.3</v>
      </c>
      <c r="K217" s="9">
        <f>488.3+1200</f>
        <v>1688.3</v>
      </c>
      <c r="L217" s="9">
        <v>0</v>
      </c>
      <c r="M217" s="9"/>
      <c r="N217" s="9">
        <v>0</v>
      </c>
    </row>
    <row r="218" spans="1:14" x14ac:dyDescent="0.3">
      <c r="A218" s="7"/>
      <c r="B218" s="7"/>
      <c r="C218" s="7" t="s">
        <v>838</v>
      </c>
      <c r="D218" s="61"/>
      <c r="E218" s="6" t="s">
        <v>432</v>
      </c>
      <c r="F218" s="9">
        <f>F219</f>
        <v>9637.6999999999989</v>
      </c>
      <c r="G218" s="9"/>
      <c r="H218" s="9">
        <f>H219</f>
        <v>9637.6999999999989</v>
      </c>
      <c r="I218" s="9">
        <f>I219</f>
        <v>0</v>
      </c>
      <c r="J218" s="380"/>
      <c r="K218" s="9">
        <f>K219</f>
        <v>0</v>
      </c>
      <c r="L218" s="9">
        <f>L219</f>
        <v>0</v>
      </c>
      <c r="M218" s="9"/>
      <c r="N218" s="9">
        <f>N219</f>
        <v>0</v>
      </c>
    </row>
    <row r="219" spans="1:14" x14ac:dyDescent="0.3">
      <c r="A219" s="99"/>
      <c r="B219" s="99"/>
      <c r="C219" s="99"/>
      <c r="D219" s="7" t="s">
        <v>12</v>
      </c>
      <c r="E219" s="6" t="s">
        <v>11</v>
      </c>
      <c r="F219" s="9">
        <f>8354.4+1283.3</f>
        <v>9637.6999999999989</v>
      </c>
      <c r="G219" s="9"/>
      <c r="H219" s="9">
        <f>8354.4+1283.3</f>
        <v>9637.6999999999989</v>
      </c>
      <c r="I219" s="9">
        <v>0</v>
      </c>
      <c r="J219" s="380"/>
      <c r="K219" s="9">
        <v>0</v>
      </c>
      <c r="L219" s="9">
        <v>0</v>
      </c>
      <c r="M219" s="9"/>
      <c r="N219" s="9">
        <v>0</v>
      </c>
    </row>
    <row r="220" spans="1:14" x14ac:dyDescent="0.3">
      <c r="A220" s="223"/>
      <c r="B220" s="223"/>
      <c r="C220" s="223" t="s">
        <v>431</v>
      </c>
      <c r="D220" s="223"/>
      <c r="E220" s="224" t="s">
        <v>430</v>
      </c>
      <c r="F220" s="225">
        <f t="shared" ref="F220:N221" si="32">F221</f>
        <v>31983.9</v>
      </c>
      <c r="G220" s="225"/>
      <c r="H220" s="225">
        <f t="shared" si="32"/>
        <v>31983.9</v>
      </c>
      <c r="I220" s="225">
        <f t="shared" si="32"/>
        <v>31983.9</v>
      </c>
      <c r="J220" s="379"/>
      <c r="K220" s="225">
        <f t="shared" si="32"/>
        <v>31983.9</v>
      </c>
      <c r="L220" s="225">
        <f t="shared" si="32"/>
        <v>31983.9</v>
      </c>
      <c r="M220" s="225"/>
      <c r="N220" s="225">
        <f t="shared" si="32"/>
        <v>31983.9</v>
      </c>
    </row>
    <row r="221" spans="1:14" ht="27" x14ac:dyDescent="0.3">
      <c r="A221" s="7"/>
      <c r="B221" s="7"/>
      <c r="C221" s="7" t="s">
        <v>837</v>
      </c>
      <c r="D221" s="61"/>
      <c r="E221" s="6" t="s">
        <v>429</v>
      </c>
      <c r="F221" s="9">
        <f t="shared" si="32"/>
        <v>31983.9</v>
      </c>
      <c r="G221" s="9"/>
      <c r="H221" s="9">
        <f t="shared" si="32"/>
        <v>31983.9</v>
      </c>
      <c r="I221" s="9">
        <f t="shared" si="32"/>
        <v>31983.9</v>
      </c>
      <c r="J221" s="380"/>
      <c r="K221" s="9">
        <f t="shared" si="32"/>
        <v>31983.9</v>
      </c>
      <c r="L221" s="9">
        <f t="shared" si="32"/>
        <v>31983.9</v>
      </c>
      <c r="M221" s="9"/>
      <c r="N221" s="9">
        <f t="shared" si="32"/>
        <v>31983.9</v>
      </c>
    </row>
    <row r="222" spans="1:14" x14ac:dyDescent="0.3">
      <c r="A222" s="7"/>
      <c r="B222" s="7"/>
      <c r="C222" s="7"/>
      <c r="D222" s="7" t="s">
        <v>12</v>
      </c>
      <c r="E222" s="6" t="s">
        <v>11</v>
      </c>
      <c r="F222" s="9">
        <v>31983.9</v>
      </c>
      <c r="G222" s="9"/>
      <c r="H222" s="9">
        <v>31983.9</v>
      </c>
      <c r="I222" s="9">
        <v>31983.9</v>
      </c>
      <c r="J222" s="380"/>
      <c r="K222" s="9">
        <v>31983.9</v>
      </c>
      <c r="L222" s="9">
        <v>31983.9</v>
      </c>
      <c r="M222" s="9"/>
      <c r="N222" s="9">
        <v>31983.9</v>
      </c>
    </row>
    <row r="223" spans="1:14" ht="27" x14ac:dyDescent="0.3">
      <c r="A223" s="223"/>
      <c r="B223" s="223"/>
      <c r="C223" s="223" t="s">
        <v>428</v>
      </c>
      <c r="D223" s="223"/>
      <c r="E223" s="224" t="s">
        <v>427</v>
      </c>
      <c r="F223" s="225">
        <f t="shared" ref="F223:K224" si="33">F224</f>
        <v>50131.557710000001</v>
      </c>
      <c r="G223" s="225">
        <f t="shared" si="33"/>
        <v>-50131.557710000001</v>
      </c>
      <c r="H223" s="225">
        <f t="shared" si="33"/>
        <v>0</v>
      </c>
      <c r="I223" s="225">
        <f t="shared" si="33"/>
        <v>1327.7805000000001</v>
      </c>
      <c r="J223" s="225">
        <f t="shared" si="33"/>
        <v>-1327.7805000000001</v>
      </c>
      <c r="K223" s="225">
        <f t="shared" si="33"/>
        <v>0</v>
      </c>
      <c r="L223" s="225">
        <v>0</v>
      </c>
      <c r="M223" s="225"/>
      <c r="N223" s="225">
        <v>0</v>
      </c>
    </row>
    <row r="224" spans="1:14" x14ac:dyDescent="0.3">
      <c r="A224" s="7"/>
      <c r="B224" s="7"/>
      <c r="C224" s="7" t="s">
        <v>426</v>
      </c>
      <c r="D224" s="7"/>
      <c r="E224" s="6" t="s">
        <v>425</v>
      </c>
      <c r="F224" s="9">
        <f t="shared" si="33"/>
        <v>50131.557710000001</v>
      </c>
      <c r="G224" s="9">
        <f t="shared" si="33"/>
        <v>-50131.557710000001</v>
      </c>
      <c r="H224" s="9">
        <f t="shared" si="33"/>
        <v>0</v>
      </c>
      <c r="I224" s="9">
        <f t="shared" si="33"/>
        <v>1327.7805000000001</v>
      </c>
      <c r="J224" s="9">
        <f t="shared" si="33"/>
        <v>-1327.7805000000001</v>
      </c>
      <c r="K224" s="9">
        <f t="shared" si="33"/>
        <v>0</v>
      </c>
      <c r="L224" s="9">
        <v>0</v>
      </c>
      <c r="M224" s="9"/>
      <c r="N224" s="9">
        <v>0</v>
      </c>
    </row>
    <row r="225" spans="1:14" x14ac:dyDescent="0.3">
      <c r="A225" s="7"/>
      <c r="B225" s="7"/>
      <c r="C225" s="7"/>
      <c r="D225" s="7" t="s">
        <v>12</v>
      </c>
      <c r="E225" s="6" t="s">
        <v>11</v>
      </c>
      <c r="F225" s="9">
        <f t="shared" ref="F225:K225" si="34">F226+F227+F228</f>
        <v>50131.557710000001</v>
      </c>
      <c r="G225" s="9">
        <f t="shared" si="34"/>
        <v>-50131.557710000001</v>
      </c>
      <c r="H225" s="9">
        <f t="shared" si="34"/>
        <v>0</v>
      </c>
      <c r="I225" s="9">
        <f t="shared" si="34"/>
        <v>1327.7805000000001</v>
      </c>
      <c r="J225" s="9">
        <f t="shared" si="34"/>
        <v>-1327.7805000000001</v>
      </c>
      <c r="K225" s="9">
        <f t="shared" si="34"/>
        <v>0</v>
      </c>
      <c r="L225" s="9">
        <v>0</v>
      </c>
      <c r="M225" s="9"/>
      <c r="N225" s="9">
        <v>0</v>
      </c>
    </row>
    <row r="226" spans="1:14" x14ac:dyDescent="0.3">
      <c r="A226" s="7"/>
      <c r="B226" s="7"/>
      <c r="C226" s="7"/>
      <c r="D226" s="7"/>
      <c r="E226" s="6" t="s">
        <v>115</v>
      </c>
      <c r="F226" s="9">
        <v>47403.956680000003</v>
      </c>
      <c r="G226" s="9">
        <v>-47403.956680000003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/>
      <c r="N226" s="9">
        <v>0</v>
      </c>
    </row>
    <row r="227" spans="1:14" x14ac:dyDescent="0.3">
      <c r="A227" s="7"/>
      <c r="B227" s="7"/>
      <c r="C227" s="7"/>
      <c r="D227" s="7"/>
      <c r="E227" s="6" t="s">
        <v>114</v>
      </c>
      <c r="F227" s="9">
        <v>2494.9450700000002</v>
      </c>
      <c r="G227" s="9">
        <v>-2494.9450700000002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/>
      <c r="N227" s="9">
        <v>0</v>
      </c>
    </row>
    <row r="228" spans="1:14" x14ac:dyDescent="0.3">
      <c r="A228" s="7"/>
      <c r="B228" s="7"/>
      <c r="C228" s="7"/>
      <c r="D228" s="7"/>
      <c r="E228" s="6" t="s">
        <v>106</v>
      </c>
      <c r="F228" s="9">
        <v>232.65595999999999</v>
      </c>
      <c r="G228" s="9">
        <v>-232.65595999999999</v>
      </c>
      <c r="H228" s="9">
        <v>0</v>
      </c>
      <c r="I228" s="9">
        <v>1327.7805000000001</v>
      </c>
      <c r="J228" s="9">
        <v>-1327.7805000000001</v>
      </c>
      <c r="K228" s="9">
        <v>0</v>
      </c>
      <c r="L228" s="9">
        <v>0</v>
      </c>
      <c r="M228" s="9"/>
      <c r="N228" s="9">
        <v>0</v>
      </c>
    </row>
    <row r="229" spans="1:14" ht="27" x14ac:dyDescent="0.3">
      <c r="A229" s="223"/>
      <c r="B229" s="223"/>
      <c r="C229" s="223" t="s">
        <v>887</v>
      </c>
      <c r="D229" s="223"/>
      <c r="E229" s="224" t="s">
        <v>427</v>
      </c>
      <c r="F229" s="225"/>
      <c r="G229" s="225">
        <f t="shared" ref="G229:K230" si="35">G230</f>
        <v>50131.557710000001</v>
      </c>
      <c r="H229" s="225">
        <f t="shared" si="35"/>
        <v>50131.557710000001</v>
      </c>
      <c r="I229" s="225"/>
      <c r="J229" s="225">
        <f t="shared" si="35"/>
        <v>1455.01207</v>
      </c>
      <c r="K229" s="225">
        <f t="shared" si="35"/>
        <v>1455.01207</v>
      </c>
      <c r="L229" s="225">
        <v>0</v>
      </c>
      <c r="M229" s="225"/>
      <c r="N229" s="225">
        <v>0</v>
      </c>
    </row>
    <row r="230" spans="1:14" x14ac:dyDescent="0.3">
      <c r="A230" s="7"/>
      <c r="B230" s="7"/>
      <c r="C230" s="7" t="s">
        <v>888</v>
      </c>
      <c r="D230" s="7"/>
      <c r="E230" s="6" t="s">
        <v>425</v>
      </c>
      <c r="F230" s="9"/>
      <c r="G230" s="9">
        <f t="shared" si="35"/>
        <v>50131.557710000001</v>
      </c>
      <c r="H230" s="9">
        <f t="shared" si="35"/>
        <v>50131.557710000001</v>
      </c>
      <c r="I230" s="9"/>
      <c r="J230" s="9">
        <f t="shared" si="35"/>
        <v>1455.01207</v>
      </c>
      <c r="K230" s="9">
        <f t="shared" si="35"/>
        <v>1455.01207</v>
      </c>
      <c r="L230" s="9">
        <v>0</v>
      </c>
      <c r="M230" s="9"/>
      <c r="N230" s="9">
        <v>0</v>
      </c>
    </row>
    <row r="231" spans="1:14" x14ac:dyDescent="0.3">
      <c r="A231" s="7"/>
      <c r="B231" s="7"/>
      <c r="C231" s="7"/>
      <c r="D231" s="7" t="s">
        <v>12</v>
      </c>
      <c r="E231" s="6" t="s">
        <v>11</v>
      </c>
      <c r="F231" s="9"/>
      <c r="G231" s="9">
        <f>G232+G233+G234</f>
        <v>50131.557710000001</v>
      </c>
      <c r="H231" s="9">
        <f>H232+H233+H234</f>
        <v>50131.557710000001</v>
      </c>
      <c r="I231" s="9"/>
      <c r="J231" s="9">
        <f>J232+J233+J234</f>
        <v>1455.01207</v>
      </c>
      <c r="K231" s="9">
        <f>K232+K233+K234</f>
        <v>1455.01207</v>
      </c>
      <c r="L231" s="9">
        <v>0</v>
      </c>
      <c r="M231" s="9"/>
      <c r="N231" s="9">
        <v>0</v>
      </c>
    </row>
    <row r="232" spans="1:14" x14ac:dyDescent="0.3">
      <c r="A232" s="7"/>
      <c r="B232" s="7"/>
      <c r="C232" s="7"/>
      <c r="D232" s="7"/>
      <c r="E232" s="6" t="s">
        <v>115</v>
      </c>
      <c r="F232" s="9"/>
      <c r="G232" s="9">
        <v>47403.956680000003</v>
      </c>
      <c r="H232" s="9">
        <v>47403.956680000003</v>
      </c>
      <c r="I232" s="9"/>
      <c r="J232" s="9">
        <v>0</v>
      </c>
      <c r="K232" s="9">
        <v>0</v>
      </c>
      <c r="L232" s="9">
        <v>0</v>
      </c>
      <c r="M232" s="9"/>
      <c r="N232" s="9">
        <v>0</v>
      </c>
    </row>
    <row r="233" spans="1:14" x14ac:dyDescent="0.3">
      <c r="A233" s="7"/>
      <c r="B233" s="7"/>
      <c r="C233" s="7"/>
      <c r="D233" s="7"/>
      <c r="E233" s="6" t="s">
        <v>114</v>
      </c>
      <c r="F233" s="9"/>
      <c r="G233" s="9">
        <v>2494.9450700000002</v>
      </c>
      <c r="H233" s="9">
        <v>2494.9450700000002</v>
      </c>
      <c r="I233" s="9"/>
      <c r="J233" s="9">
        <v>0</v>
      </c>
      <c r="K233" s="9">
        <v>0</v>
      </c>
      <c r="L233" s="9">
        <v>0</v>
      </c>
      <c r="M233" s="9"/>
      <c r="N233" s="9">
        <v>0</v>
      </c>
    </row>
    <row r="234" spans="1:14" x14ac:dyDescent="0.3">
      <c r="A234" s="7"/>
      <c r="B234" s="7"/>
      <c r="C234" s="7"/>
      <c r="D234" s="7"/>
      <c r="E234" s="6" t="s">
        <v>106</v>
      </c>
      <c r="F234" s="9"/>
      <c r="G234" s="9">
        <v>232.65595999999999</v>
      </c>
      <c r="H234" s="9">
        <f>250.74825-18.09229</f>
        <v>232.65596000000002</v>
      </c>
      <c r="I234" s="9"/>
      <c r="J234" s="9">
        <f>1327.7805+127.23157</f>
        <v>1455.01207</v>
      </c>
      <c r="K234" s="9">
        <f>1327.7805+127.23157</f>
        <v>1455.01207</v>
      </c>
      <c r="L234" s="9">
        <v>0</v>
      </c>
      <c r="M234" s="9"/>
      <c r="N234" s="9">
        <v>0</v>
      </c>
    </row>
    <row r="235" spans="1:14" ht="27" x14ac:dyDescent="0.3">
      <c r="A235" s="31"/>
      <c r="B235" s="31"/>
      <c r="C235" s="31" t="s">
        <v>424</v>
      </c>
      <c r="D235" s="31"/>
      <c r="E235" s="52" t="s">
        <v>423</v>
      </c>
      <c r="F235" s="29">
        <f t="shared" ref="F235:N237" si="36">F236</f>
        <v>898.2</v>
      </c>
      <c r="G235" s="29">
        <f>G239</f>
        <v>32.700000000000003</v>
      </c>
      <c r="H235" s="29">
        <f>H236+H239</f>
        <v>930.90000000000009</v>
      </c>
      <c r="I235" s="29">
        <f t="shared" si="36"/>
        <v>0</v>
      </c>
      <c r="J235" s="29">
        <f>J239</f>
        <v>300.39999999999998</v>
      </c>
      <c r="K235" s="29">
        <f>K236+K239</f>
        <v>300.39999999999998</v>
      </c>
      <c r="L235" s="29">
        <f t="shared" si="36"/>
        <v>0</v>
      </c>
      <c r="M235" s="29"/>
      <c r="N235" s="29">
        <f t="shared" si="36"/>
        <v>0</v>
      </c>
    </row>
    <row r="236" spans="1:14" ht="27" x14ac:dyDescent="0.3">
      <c r="A236" s="223"/>
      <c r="B236" s="223"/>
      <c r="C236" s="223" t="s">
        <v>422</v>
      </c>
      <c r="D236" s="223"/>
      <c r="E236" s="238" t="s">
        <v>421</v>
      </c>
      <c r="F236" s="225">
        <f t="shared" si="36"/>
        <v>898.2</v>
      </c>
      <c r="G236" s="225"/>
      <c r="H236" s="225">
        <f t="shared" si="36"/>
        <v>898.2</v>
      </c>
      <c r="I236" s="225">
        <f t="shared" si="36"/>
        <v>0</v>
      </c>
      <c r="J236" s="379"/>
      <c r="K236" s="225">
        <f t="shared" si="36"/>
        <v>0</v>
      </c>
      <c r="L236" s="225">
        <f t="shared" si="36"/>
        <v>0</v>
      </c>
      <c r="M236" s="225"/>
      <c r="N236" s="225">
        <f t="shared" si="36"/>
        <v>0</v>
      </c>
    </row>
    <row r="237" spans="1:14" ht="27" x14ac:dyDescent="0.3">
      <c r="A237" s="8"/>
      <c r="B237" s="8"/>
      <c r="C237" s="7" t="s">
        <v>836</v>
      </c>
      <c r="D237" s="7"/>
      <c r="E237" s="105" t="s">
        <v>420</v>
      </c>
      <c r="F237" s="9">
        <f t="shared" si="36"/>
        <v>898.2</v>
      </c>
      <c r="G237" s="9"/>
      <c r="H237" s="9">
        <f t="shared" si="36"/>
        <v>898.2</v>
      </c>
      <c r="I237" s="9">
        <f t="shared" si="36"/>
        <v>0</v>
      </c>
      <c r="J237" s="380"/>
      <c r="K237" s="9">
        <f t="shared" si="36"/>
        <v>0</v>
      </c>
      <c r="L237" s="9">
        <f t="shared" si="36"/>
        <v>0</v>
      </c>
      <c r="M237" s="9"/>
      <c r="N237" s="9">
        <f t="shared" si="36"/>
        <v>0</v>
      </c>
    </row>
    <row r="238" spans="1:14" x14ac:dyDescent="0.3">
      <c r="A238" s="8"/>
      <c r="B238" s="8"/>
      <c r="C238" s="7"/>
      <c r="D238" s="7" t="s">
        <v>12</v>
      </c>
      <c r="E238" s="6" t="s">
        <v>11</v>
      </c>
      <c r="F238" s="9">
        <v>898.2</v>
      </c>
      <c r="G238" s="9"/>
      <c r="H238" s="9">
        <v>898.2</v>
      </c>
      <c r="I238" s="9">
        <v>0</v>
      </c>
      <c r="J238" s="380"/>
      <c r="K238" s="9">
        <v>0</v>
      </c>
      <c r="L238" s="9">
        <v>0</v>
      </c>
      <c r="M238" s="9"/>
      <c r="N238" s="9">
        <v>0</v>
      </c>
    </row>
    <row r="239" spans="1:14" ht="27" x14ac:dyDescent="0.3">
      <c r="A239" s="223"/>
      <c r="B239" s="223"/>
      <c r="C239" s="223" t="s">
        <v>883</v>
      </c>
      <c r="D239" s="223"/>
      <c r="E239" s="238" t="s">
        <v>884</v>
      </c>
      <c r="F239" s="237">
        <f>F240</f>
        <v>0</v>
      </c>
      <c r="G239" s="237">
        <f>G240</f>
        <v>32.700000000000003</v>
      </c>
      <c r="H239" s="237">
        <f>H240</f>
        <v>32.700000000000003</v>
      </c>
      <c r="I239" s="237">
        <v>0</v>
      </c>
      <c r="J239" s="406">
        <f>J240</f>
        <v>300.39999999999998</v>
      </c>
      <c r="K239" s="406">
        <f>K240</f>
        <v>300.39999999999998</v>
      </c>
      <c r="L239" s="237">
        <v>0</v>
      </c>
      <c r="M239" s="237"/>
      <c r="N239" s="237">
        <v>0</v>
      </c>
    </row>
    <row r="240" spans="1:14" ht="27" x14ac:dyDescent="0.3">
      <c r="A240" s="405"/>
      <c r="B240" s="405"/>
      <c r="C240" s="362" t="s">
        <v>885</v>
      </c>
      <c r="D240" s="362"/>
      <c r="E240" s="371" t="s">
        <v>886</v>
      </c>
      <c r="F240" s="364"/>
      <c r="G240" s="389">
        <f>G241</f>
        <v>32.700000000000003</v>
      </c>
      <c r="H240" s="389">
        <f>H241</f>
        <v>32.700000000000003</v>
      </c>
      <c r="I240" s="364"/>
      <c r="J240" s="389">
        <f>J241</f>
        <v>300.39999999999998</v>
      </c>
      <c r="K240" s="389">
        <f>K241</f>
        <v>300.39999999999998</v>
      </c>
      <c r="L240" s="380"/>
      <c r="M240" s="380"/>
      <c r="N240" s="380"/>
    </row>
    <row r="241" spans="1:14" x14ac:dyDescent="0.3">
      <c r="A241" s="405"/>
      <c r="B241" s="405"/>
      <c r="C241" s="362"/>
      <c r="D241" s="7" t="s">
        <v>12</v>
      </c>
      <c r="E241" s="6" t="s">
        <v>11</v>
      </c>
      <c r="F241" s="364"/>
      <c r="G241" s="389">
        <v>32.700000000000003</v>
      </c>
      <c r="H241" s="389">
        <v>32.700000000000003</v>
      </c>
      <c r="I241" s="364"/>
      <c r="J241" s="389">
        <v>300.39999999999998</v>
      </c>
      <c r="K241" s="389">
        <v>300.39999999999998</v>
      </c>
      <c r="L241" s="380"/>
      <c r="M241" s="380"/>
      <c r="N241" s="380"/>
    </row>
    <row r="242" spans="1:14" x14ac:dyDescent="0.3">
      <c r="A242" s="8"/>
      <c r="B242" s="23" t="s">
        <v>419</v>
      </c>
      <c r="C242" s="57"/>
      <c r="D242" s="37"/>
      <c r="E242" s="20" t="s">
        <v>418</v>
      </c>
      <c r="F242" s="27">
        <f>F243+F277</f>
        <v>17924.243999999999</v>
      </c>
      <c r="G242" s="27">
        <f>G243+G277</f>
        <v>0</v>
      </c>
      <c r="H242" s="27">
        <f>H243+H277</f>
        <v>17924.243999999999</v>
      </c>
      <c r="I242" s="27">
        <f>I243+I277</f>
        <v>5777.1</v>
      </c>
      <c r="J242" s="381"/>
      <c r="K242" s="27">
        <f>K243+K277</f>
        <v>5777.1</v>
      </c>
      <c r="L242" s="27">
        <f>L243+L277</f>
        <v>5375.1</v>
      </c>
      <c r="M242" s="27"/>
      <c r="N242" s="27">
        <f>N243+N277</f>
        <v>5375.1</v>
      </c>
    </row>
    <row r="243" spans="1:14" x14ac:dyDescent="0.3">
      <c r="A243" s="8"/>
      <c r="B243" s="23"/>
      <c r="C243" s="22" t="s">
        <v>36</v>
      </c>
      <c r="D243" s="21"/>
      <c r="E243" s="28" t="s">
        <v>35</v>
      </c>
      <c r="F243" s="27">
        <f>F244+F251+F265</f>
        <v>14626.543999999998</v>
      </c>
      <c r="G243" s="27"/>
      <c r="H243" s="27">
        <f>H244+H251+H265</f>
        <v>14626.543999999998</v>
      </c>
      <c r="I243" s="27">
        <f>I244+I251+I265</f>
        <v>2412.9</v>
      </c>
      <c r="J243" s="381"/>
      <c r="K243" s="27">
        <f>K244+K251+K265</f>
        <v>2412.9</v>
      </c>
      <c r="L243" s="27">
        <f>L244+L251+L265</f>
        <v>2010.9</v>
      </c>
      <c r="M243" s="27"/>
      <c r="N243" s="27">
        <f>N244+N251+N265</f>
        <v>2010.9</v>
      </c>
    </row>
    <row r="244" spans="1:14" s="110" customFormat="1" ht="26.4" x14ac:dyDescent="0.3">
      <c r="A244" s="34"/>
      <c r="B244" s="34"/>
      <c r="C244" s="35" t="s">
        <v>289</v>
      </c>
      <c r="D244" s="34"/>
      <c r="E244" s="33" t="s">
        <v>288</v>
      </c>
      <c r="F244" s="32">
        <f>F245+F248</f>
        <v>5966.9</v>
      </c>
      <c r="G244" s="32"/>
      <c r="H244" s="32">
        <f>H245+H248</f>
        <v>5966.9</v>
      </c>
      <c r="I244" s="32">
        <f>I245+I248</f>
        <v>1323.7</v>
      </c>
      <c r="J244" s="377"/>
      <c r="K244" s="32">
        <f>K245+K248</f>
        <v>1323.7</v>
      </c>
      <c r="L244" s="32">
        <f>L245+L248</f>
        <v>1323.7</v>
      </c>
      <c r="M244" s="32"/>
      <c r="N244" s="32">
        <f>N245+N248</f>
        <v>1323.7</v>
      </c>
    </row>
    <row r="245" spans="1:14" ht="27" x14ac:dyDescent="0.3">
      <c r="A245" s="223"/>
      <c r="B245" s="223"/>
      <c r="C245" s="223" t="s">
        <v>287</v>
      </c>
      <c r="D245" s="223"/>
      <c r="E245" s="224" t="s">
        <v>286</v>
      </c>
      <c r="F245" s="225">
        <f t="shared" ref="F245:N246" si="37">F246</f>
        <v>1323.7</v>
      </c>
      <c r="G245" s="225"/>
      <c r="H245" s="225">
        <f t="shared" si="37"/>
        <v>1323.7</v>
      </c>
      <c r="I245" s="225">
        <f t="shared" si="37"/>
        <v>1323.7</v>
      </c>
      <c r="J245" s="379"/>
      <c r="K245" s="225">
        <f t="shared" si="37"/>
        <v>1323.7</v>
      </c>
      <c r="L245" s="225">
        <f t="shared" si="37"/>
        <v>1323.7</v>
      </c>
      <c r="M245" s="225"/>
      <c r="N245" s="225">
        <f t="shared" si="37"/>
        <v>1323.7</v>
      </c>
    </row>
    <row r="246" spans="1:14" ht="39.6" x14ac:dyDescent="0.3">
      <c r="A246" s="8"/>
      <c r="B246" s="8"/>
      <c r="C246" s="7" t="s">
        <v>417</v>
      </c>
      <c r="D246" s="7"/>
      <c r="E246" s="109" t="s">
        <v>736</v>
      </c>
      <c r="F246" s="9">
        <f t="shared" si="37"/>
        <v>1323.7</v>
      </c>
      <c r="G246" s="9"/>
      <c r="H246" s="9">
        <f t="shared" si="37"/>
        <v>1323.7</v>
      </c>
      <c r="I246" s="9">
        <f t="shared" si="37"/>
        <v>1323.7</v>
      </c>
      <c r="J246" s="380"/>
      <c r="K246" s="9">
        <f t="shared" si="37"/>
        <v>1323.7</v>
      </c>
      <c r="L246" s="9">
        <f t="shared" si="37"/>
        <v>1323.7</v>
      </c>
      <c r="M246" s="9"/>
      <c r="N246" s="9">
        <f t="shared" si="37"/>
        <v>1323.7</v>
      </c>
    </row>
    <row r="247" spans="1:14" x14ac:dyDescent="0.3">
      <c r="A247" s="8"/>
      <c r="B247" s="8"/>
      <c r="C247" s="7"/>
      <c r="D247" s="7" t="s">
        <v>12</v>
      </c>
      <c r="E247" s="6" t="s">
        <v>11</v>
      </c>
      <c r="F247" s="9">
        <v>1323.7</v>
      </c>
      <c r="G247" s="9"/>
      <c r="H247" s="9">
        <v>1323.7</v>
      </c>
      <c r="I247" s="9">
        <v>1323.7</v>
      </c>
      <c r="J247" s="380"/>
      <c r="K247" s="9">
        <v>1323.7</v>
      </c>
      <c r="L247" s="9">
        <v>1323.7</v>
      </c>
      <c r="M247" s="9"/>
      <c r="N247" s="9">
        <v>1323.7</v>
      </c>
    </row>
    <row r="248" spans="1:14" ht="27" x14ac:dyDescent="0.3">
      <c r="A248" s="227"/>
      <c r="B248" s="227"/>
      <c r="C248" s="223" t="s">
        <v>416</v>
      </c>
      <c r="D248" s="223"/>
      <c r="E248" s="224" t="s">
        <v>415</v>
      </c>
      <c r="F248" s="225">
        <f t="shared" ref="F248:N249" si="38">F249</f>
        <v>4643.2</v>
      </c>
      <c r="G248" s="225"/>
      <c r="H248" s="225">
        <f t="shared" si="38"/>
        <v>4643.2</v>
      </c>
      <c r="I248" s="225">
        <f t="shared" si="38"/>
        <v>0</v>
      </c>
      <c r="J248" s="379"/>
      <c r="K248" s="225">
        <f t="shared" si="38"/>
        <v>0</v>
      </c>
      <c r="L248" s="225">
        <f t="shared" si="38"/>
        <v>0</v>
      </c>
      <c r="M248" s="225"/>
      <c r="N248" s="225">
        <f t="shared" si="38"/>
        <v>0</v>
      </c>
    </row>
    <row r="249" spans="1:14" x14ac:dyDescent="0.3">
      <c r="A249" s="8"/>
      <c r="B249" s="8"/>
      <c r="C249" s="7" t="s">
        <v>414</v>
      </c>
      <c r="D249" s="7"/>
      <c r="E249" s="82" t="s">
        <v>413</v>
      </c>
      <c r="F249" s="9">
        <f t="shared" si="38"/>
        <v>4643.2</v>
      </c>
      <c r="G249" s="9"/>
      <c r="H249" s="9">
        <f t="shared" si="38"/>
        <v>4643.2</v>
      </c>
      <c r="I249" s="9">
        <f t="shared" si="38"/>
        <v>0</v>
      </c>
      <c r="J249" s="380"/>
      <c r="K249" s="9">
        <f t="shared" si="38"/>
        <v>0</v>
      </c>
      <c r="L249" s="9">
        <f t="shared" si="38"/>
        <v>0</v>
      </c>
      <c r="M249" s="9"/>
      <c r="N249" s="9">
        <f t="shared" si="38"/>
        <v>0</v>
      </c>
    </row>
    <row r="250" spans="1:14" ht="27" x14ac:dyDescent="0.3">
      <c r="A250" s="8"/>
      <c r="B250" s="8"/>
      <c r="C250" s="7"/>
      <c r="D250" s="7" t="s">
        <v>276</v>
      </c>
      <c r="E250" s="6" t="s">
        <v>275</v>
      </c>
      <c r="F250" s="5">
        <v>4643.2</v>
      </c>
      <c r="G250" s="5"/>
      <c r="H250" s="5">
        <v>4643.2</v>
      </c>
      <c r="I250" s="5">
        <v>0</v>
      </c>
      <c r="J250" s="382"/>
      <c r="K250" s="5">
        <v>0</v>
      </c>
      <c r="L250" s="5">
        <v>0</v>
      </c>
      <c r="M250" s="5"/>
      <c r="N250" s="5">
        <v>0</v>
      </c>
    </row>
    <row r="251" spans="1:14" ht="26.4" x14ac:dyDescent="0.3">
      <c r="A251" s="34"/>
      <c r="B251" s="34"/>
      <c r="C251" s="35" t="s">
        <v>412</v>
      </c>
      <c r="D251" s="34"/>
      <c r="E251" s="33" t="s">
        <v>411</v>
      </c>
      <c r="F251" s="32">
        <f>F252</f>
        <v>117.2</v>
      </c>
      <c r="G251" s="32">
        <f>G252</f>
        <v>0</v>
      </c>
      <c r="H251" s="32">
        <f>H252</f>
        <v>117.2</v>
      </c>
      <c r="I251" s="32">
        <f>I252</f>
        <v>49.2</v>
      </c>
      <c r="J251" s="377"/>
      <c r="K251" s="32">
        <f>K252</f>
        <v>49.2</v>
      </c>
      <c r="L251" s="32">
        <f>L252</f>
        <v>49.2</v>
      </c>
      <c r="M251" s="32"/>
      <c r="N251" s="32">
        <f>N252</f>
        <v>49.2</v>
      </c>
    </row>
    <row r="252" spans="1:14" ht="27" x14ac:dyDescent="0.3">
      <c r="A252" s="31"/>
      <c r="B252" s="31"/>
      <c r="C252" s="31" t="s">
        <v>410</v>
      </c>
      <c r="D252" s="31"/>
      <c r="E252" s="83" t="s">
        <v>409</v>
      </c>
      <c r="F252" s="29">
        <f>F253+F258</f>
        <v>117.2</v>
      </c>
      <c r="G252" s="29">
        <f>G253+G258+G261</f>
        <v>0</v>
      </c>
      <c r="H252" s="29">
        <f>H253+H258+H261</f>
        <v>117.2</v>
      </c>
      <c r="I252" s="29">
        <f>I253</f>
        <v>49.2</v>
      </c>
      <c r="J252" s="378"/>
      <c r="K252" s="29">
        <f>K253</f>
        <v>49.2</v>
      </c>
      <c r="L252" s="29">
        <f>L253</f>
        <v>49.2</v>
      </c>
      <c r="M252" s="29"/>
      <c r="N252" s="29">
        <f>N253</f>
        <v>49.2</v>
      </c>
    </row>
    <row r="253" spans="1:14" ht="27" x14ac:dyDescent="0.3">
      <c r="A253" s="223"/>
      <c r="B253" s="223"/>
      <c r="C253" s="223" t="s">
        <v>408</v>
      </c>
      <c r="D253" s="231"/>
      <c r="E253" s="236" t="s">
        <v>407</v>
      </c>
      <c r="F253" s="225">
        <f>F254+F256</f>
        <v>49.2</v>
      </c>
      <c r="G253" s="225"/>
      <c r="H253" s="225">
        <f>H254+H256</f>
        <v>49.2</v>
      </c>
      <c r="I253" s="225">
        <f>I254+I256</f>
        <v>49.2</v>
      </c>
      <c r="J253" s="379"/>
      <c r="K253" s="225">
        <f>K254+K256</f>
        <v>49.2</v>
      </c>
      <c r="L253" s="225">
        <f>L254+L256</f>
        <v>49.2</v>
      </c>
      <c r="M253" s="225"/>
      <c r="N253" s="225">
        <f>N254+N256</f>
        <v>49.2</v>
      </c>
    </row>
    <row r="254" spans="1:14" x14ac:dyDescent="0.3">
      <c r="A254" s="61"/>
      <c r="B254" s="61"/>
      <c r="C254" s="7" t="s">
        <v>406</v>
      </c>
      <c r="D254" s="7"/>
      <c r="E254" s="103" t="s">
        <v>405</v>
      </c>
      <c r="F254" s="9">
        <f>F255</f>
        <v>19.2</v>
      </c>
      <c r="G254" s="9"/>
      <c r="H254" s="9">
        <f>H255</f>
        <v>19.2</v>
      </c>
      <c r="I254" s="9">
        <f>I255</f>
        <v>19.2</v>
      </c>
      <c r="J254" s="380"/>
      <c r="K254" s="9">
        <f>K255</f>
        <v>19.2</v>
      </c>
      <c r="L254" s="9">
        <f>L255</f>
        <v>19.2</v>
      </c>
      <c r="M254" s="9"/>
      <c r="N254" s="9">
        <f>N255</f>
        <v>19.2</v>
      </c>
    </row>
    <row r="255" spans="1:14" x14ac:dyDescent="0.3">
      <c r="A255" s="61"/>
      <c r="B255" s="61"/>
      <c r="C255" s="7"/>
      <c r="D255" s="7" t="s">
        <v>12</v>
      </c>
      <c r="E255" s="6" t="s">
        <v>11</v>
      </c>
      <c r="F255" s="9">
        <v>19.2</v>
      </c>
      <c r="G255" s="9"/>
      <c r="H255" s="9">
        <v>19.2</v>
      </c>
      <c r="I255" s="9">
        <v>19.2</v>
      </c>
      <c r="J255" s="380"/>
      <c r="K255" s="9">
        <v>19.2</v>
      </c>
      <c r="L255" s="9">
        <v>19.2</v>
      </c>
      <c r="M255" s="9"/>
      <c r="N255" s="9">
        <v>19.2</v>
      </c>
    </row>
    <row r="256" spans="1:14" x14ac:dyDescent="0.3">
      <c r="A256" s="61"/>
      <c r="B256" s="61"/>
      <c r="C256" s="7" t="s">
        <v>404</v>
      </c>
      <c r="D256" s="7"/>
      <c r="E256" s="103" t="s">
        <v>403</v>
      </c>
      <c r="F256" s="9">
        <f>F257</f>
        <v>30</v>
      </c>
      <c r="G256" s="9"/>
      <c r="H256" s="9">
        <f>H257</f>
        <v>30</v>
      </c>
      <c r="I256" s="9">
        <f>I257</f>
        <v>30</v>
      </c>
      <c r="J256" s="380"/>
      <c r="K256" s="9">
        <f>K257</f>
        <v>30</v>
      </c>
      <c r="L256" s="9">
        <f>L257</f>
        <v>30</v>
      </c>
      <c r="M256" s="9"/>
      <c r="N256" s="9">
        <f>N257</f>
        <v>30</v>
      </c>
    </row>
    <row r="257" spans="1:14" x14ac:dyDescent="0.3">
      <c r="A257" s="61"/>
      <c r="B257" s="61"/>
      <c r="C257" s="7"/>
      <c r="D257" s="7" t="s">
        <v>12</v>
      </c>
      <c r="E257" s="6" t="s">
        <v>11</v>
      </c>
      <c r="F257" s="9">
        <v>30</v>
      </c>
      <c r="G257" s="9"/>
      <c r="H257" s="9">
        <v>30</v>
      </c>
      <c r="I257" s="9">
        <v>30</v>
      </c>
      <c r="J257" s="380"/>
      <c r="K257" s="9">
        <v>30</v>
      </c>
      <c r="L257" s="9">
        <v>30</v>
      </c>
      <c r="M257" s="9"/>
      <c r="N257" s="9">
        <v>30</v>
      </c>
    </row>
    <row r="258" spans="1:14" ht="27" x14ac:dyDescent="0.3">
      <c r="A258" s="223"/>
      <c r="B258" s="223"/>
      <c r="C258" s="223" t="s">
        <v>603</v>
      </c>
      <c r="D258" s="223"/>
      <c r="E258" s="224" t="s">
        <v>604</v>
      </c>
      <c r="F258" s="284">
        <f t="shared" ref="F258:H259" si="39">F259</f>
        <v>68</v>
      </c>
      <c r="G258" s="284">
        <f t="shared" si="39"/>
        <v>-52.797190000000001</v>
      </c>
      <c r="H258" s="284">
        <f t="shared" si="39"/>
        <v>15.202809999999999</v>
      </c>
      <c r="I258" s="225">
        <v>0</v>
      </c>
      <c r="J258" s="379"/>
      <c r="K258" s="225">
        <v>0</v>
      </c>
      <c r="L258" s="225">
        <v>0</v>
      </c>
      <c r="M258" s="225"/>
      <c r="N258" s="225">
        <v>0</v>
      </c>
    </row>
    <row r="259" spans="1:14" ht="27" x14ac:dyDescent="0.3">
      <c r="A259" s="61"/>
      <c r="B259" s="61"/>
      <c r="C259" s="7" t="s">
        <v>743</v>
      </c>
      <c r="D259" s="7"/>
      <c r="E259" s="6" t="s">
        <v>605</v>
      </c>
      <c r="F259" s="285">
        <f t="shared" si="39"/>
        <v>68</v>
      </c>
      <c r="G259" s="285">
        <f t="shared" si="39"/>
        <v>-52.797190000000001</v>
      </c>
      <c r="H259" s="285">
        <f t="shared" si="39"/>
        <v>15.202809999999999</v>
      </c>
      <c r="I259" s="9">
        <v>0</v>
      </c>
      <c r="J259" s="380"/>
      <c r="K259" s="9">
        <v>0</v>
      </c>
      <c r="L259" s="9">
        <v>0</v>
      </c>
      <c r="M259" s="9"/>
      <c r="N259" s="9">
        <v>0</v>
      </c>
    </row>
    <row r="260" spans="1:14" x14ac:dyDescent="0.3">
      <c r="A260" s="61"/>
      <c r="B260" s="61"/>
      <c r="C260" s="7"/>
      <c r="D260" s="7" t="s">
        <v>12</v>
      </c>
      <c r="E260" s="6" t="s">
        <v>11</v>
      </c>
      <c r="F260" s="286">
        <v>68</v>
      </c>
      <c r="G260" s="286">
        <v>-52.797190000000001</v>
      </c>
      <c r="H260" s="286">
        <f>SUM(F260:G260)</f>
        <v>15.202809999999999</v>
      </c>
      <c r="I260" s="9">
        <v>0</v>
      </c>
      <c r="J260" s="380"/>
      <c r="K260" s="9">
        <v>0</v>
      </c>
      <c r="L260" s="9">
        <v>0</v>
      </c>
      <c r="M260" s="9"/>
      <c r="N260" s="9">
        <v>0</v>
      </c>
    </row>
    <row r="261" spans="1:14" x14ac:dyDescent="0.3">
      <c r="A261" s="223"/>
      <c r="B261" s="223"/>
      <c r="C261" s="223" t="s">
        <v>873</v>
      </c>
      <c r="D261" s="223"/>
      <c r="E261" s="224" t="s">
        <v>874</v>
      </c>
      <c r="F261" s="284">
        <f>F262</f>
        <v>0</v>
      </c>
      <c r="G261" s="284">
        <f>G262</f>
        <v>52.797190000000001</v>
      </c>
      <c r="H261" s="284">
        <f>H262</f>
        <v>52.797190000000001</v>
      </c>
      <c r="I261" s="225">
        <v>0</v>
      </c>
      <c r="J261" s="379"/>
      <c r="K261" s="225">
        <v>0</v>
      </c>
      <c r="L261" s="225">
        <v>0</v>
      </c>
      <c r="M261" s="225"/>
      <c r="N261" s="225">
        <v>0</v>
      </c>
    </row>
    <row r="262" spans="1:14" x14ac:dyDescent="0.3">
      <c r="A262" s="61"/>
      <c r="B262" s="61"/>
      <c r="C262" s="362" t="s">
        <v>875</v>
      </c>
      <c r="D262" s="362"/>
      <c r="E262" s="365" t="s">
        <v>876</v>
      </c>
      <c r="F262" s="285"/>
      <c r="G262" s="285">
        <f>G263</f>
        <v>52.797190000000001</v>
      </c>
      <c r="H262" s="285">
        <f>H263</f>
        <v>52.797190000000001</v>
      </c>
      <c r="I262" s="9">
        <v>0</v>
      </c>
      <c r="J262" s="380"/>
      <c r="K262" s="9">
        <v>0</v>
      </c>
      <c r="L262" s="9">
        <v>0</v>
      </c>
      <c r="M262" s="9"/>
      <c r="N262" s="9">
        <v>0</v>
      </c>
    </row>
    <row r="263" spans="1:14" x14ac:dyDescent="0.3">
      <c r="A263" s="61"/>
      <c r="B263" s="61"/>
      <c r="C263" s="362"/>
      <c r="D263" s="7" t="s">
        <v>12</v>
      </c>
      <c r="E263" s="6" t="s">
        <v>11</v>
      </c>
      <c r="F263" s="286"/>
      <c r="G263" s="286">
        <v>52.797190000000001</v>
      </c>
      <c r="H263" s="286">
        <v>52.797190000000001</v>
      </c>
      <c r="I263" s="9">
        <v>0</v>
      </c>
      <c r="J263" s="380"/>
      <c r="K263" s="9">
        <v>0</v>
      </c>
      <c r="L263" s="9">
        <v>0</v>
      </c>
      <c r="M263" s="9"/>
      <c r="N263" s="9">
        <v>0</v>
      </c>
    </row>
    <row r="264" spans="1:14" x14ac:dyDescent="0.3">
      <c r="A264" s="370"/>
      <c r="B264" s="370"/>
      <c r="C264" s="362"/>
      <c r="D264" s="362"/>
      <c r="E264" s="102" t="s">
        <v>332</v>
      </c>
      <c r="F264" s="403"/>
      <c r="G264" s="286">
        <v>52.797190000000001</v>
      </c>
      <c r="H264" s="286">
        <v>52.797190000000001</v>
      </c>
      <c r="I264" s="380"/>
      <c r="J264" s="380"/>
      <c r="K264" s="380"/>
      <c r="L264" s="380"/>
      <c r="M264" s="380"/>
      <c r="N264" s="380"/>
    </row>
    <row r="265" spans="1:14" ht="39.6" x14ac:dyDescent="0.3">
      <c r="A265" s="34"/>
      <c r="B265" s="34"/>
      <c r="C265" s="35" t="s">
        <v>402</v>
      </c>
      <c r="D265" s="34"/>
      <c r="E265" s="33" t="s">
        <v>401</v>
      </c>
      <c r="F265" s="32">
        <f>F266+F273</f>
        <v>8542.4439999999995</v>
      </c>
      <c r="G265" s="32"/>
      <c r="H265" s="32">
        <f>H266+H273</f>
        <v>8542.4439999999995</v>
      </c>
      <c r="I265" s="32">
        <f>I266+I273</f>
        <v>1040</v>
      </c>
      <c r="J265" s="377"/>
      <c r="K265" s="32">
        <f>K266+K273</f>
        <v>1040</v>
      </c>
      <c r="L265" s="32">
        <f>L266+L273</f>
        <v>638</v>
      </c>
      <c r="M265" s="32"/>
      <c r="N265" s="32">
        <f>N266+N273</f>
        <v>638</v>
      </c>
    </row>
    <row r="266" spans="1:14" x14ac:dyDescent="0.3">
      <c r="A266" s="223"/>
      <c r="B266" s="223"/>
      <c r="C266" s="223" t="s">
        <v>400</v>
      </c>
      <c r="D266" s="231"/>
      <c r="E266" s="224" t="s">
        <v>399</v>
      </c>
      <c r="F266" s="225">
        <f>F267+F269</f>
        <v>7959.1440000000002</v>
      </c>
      <c r="G266" s="225"/>
      <c r="H266" s="225">
        <f>H267+H269</f>
        <v>7959.1440000000002</v>
      </c>
      <c r="I266" s="225">
        <f>I267+I269</f>
        <v>1040</v>
      </c>
      <c r="J266" s="379"/>
      <c r="K266" s="225">
        <f>K267+K269</f>
        <v>1040</v>
      </c>
      <c r="L266" s="225">
        <f>L267+L269</f>
        <v>638</v>
      </c>
      <c r="M266" s="225"/>
      <c r="N266" s="225">
        <f>N267+N269</f>
        <v>638</v>
      </c>
    </row>
    <row r="267" spans="1:14" x14ac:dyDescent="0.3">
      <c r="A267" s="7"/>
      <c r="B267" s="7"/>
      <c r="C267" s="7" t="s">
        <v>398</v>
      </c>
      <c r="D267" s="7"/>
      <c r="E267" s="6" t="s">
        <v>397</v>
      </c>
      <c r="F267" s="9">
        <f>F268</f>
        <v>315.60000000000002</v>
      </c>
      <c r="G267" s="9"/>
      <c r="H267" s="9">
        <f>H268</f>
        <v>315.60000000000002</v>
      </c>
      <c r="I267" s="9">
        <f>I268</f>
        <v>154</v>
      </c>
      <c r="J267" s="380"/>
      <c r="K267" s="9">
        <f>K268</f>
        <v>154</v>
      </c>
      <c r="L267" s="9">
        <f>L268</f>
        <v>231</v>
      </c>
      <c r="M267" s="9"/>
      <c r="N267" s="9">
        <f>N268</f>
        <v>231</v>
      </c>
    </row>
    <row r="268" spans="1:14" x14ac:dyDescent="0.3">
      <c r="A268" s="7"/>
      <c r="B268" s="7"/>
      <c r="C268" s="7"/>
      <c r="D268" s="7" t="s">
        <v>12</v>
      </c>
      <c r="E268" s="6" t="s">
        <v>11</v>
      </c>
      <c r="F268" s="9">
        <v>315.60000000000002</v>
      </c>
      <c r="G268" s="9"/>
      <c r="H268" s="9">
        <v>315.60000000000002</v>
      </c>
      <c r="I268" s="9">
        <v>154</v>
      </c>
      <c r="J268" s="380"/>
      <c r="K268" s="9">
        <v>154</v>
      </c>
      <c r="L268" s="9">
        <v>231</v>
      </c>
      <c r="M268" s="9"/>
      <c r="N268" s="9">
        <v>231</v>
      </c>
    </row>
    <row r="269" spans="1:14" ht="18.75" customHeight="1" x14ac:dyDescent="0.3">
      <c r="A269" s="7"/>
      <c r="B269" s="7"/>
      <c r="C269" s="7" t="s">
        <v>396</v>
      </c>
      <c r="D269" s="7"/>
      <c r="E269" s="10" t="s">
        <v>395</v>
      </c>
      <c r="F269" s="9">
        <f>F270</f>
        <v>7643.5439999999999</v>
      </c>
      <c r="G269" s="9"/>
      <c r="H269" s="9">
        <f>H270</f>
        <v>7643.5439999999999</v>
      </c>
      <c r="I269" s="9">
        <f>I271+I272</f>
        <v>886</v>
      </c>
      <c r="J269" s="380"/>
      <c r="K269" s="9">
        <f>K271+K272</f>
        <v>886</v>
      </c>
      <c r="L269" s="9">
        <f>L271+L272</f>
        <v>407</v>
      </c>
      <c r="M269" s="9"/>
      <c r="N269" s="9">
        <f>N271+N272</f>
        <v>407</v>
      </c>
    </row>
    <row r="270" spans="1:14" x14ac:dyDescent="0.3">
      <c r="A270" s="7"/>
      <c r="B270" s="7"/>
      <c r="C270" s="7"/>
      <c r="D270" s="7" t="s">
        <v>12</v>
      </c>
      <c r="E270" s="6" t="s">
        <v>11</v>
      </c>
      <c r="F270" s="9">
        <f>F271+F272</f>
        <v>7643.5439999999999</v>
      </c>
      <c r="G270" s="9"/>
      <c r="H270" s="9">
        <f>H271+H272</f>
        <v>7643.5439999999999</v>
      </c>
      <c r="I270" s="9">
        <f>I271+I272</f>
        <v>886</v>
      </c>
      <c r="J270" s="380"/>
      <c r="K270" s="9">
        <f>K271+K272</f>
        <v>886</v>
      </c>
      <c r="L270" s="9">
        <f>L271+L272</f>
        <v>407</v>
      </c>
      <c r="M270" s="9"/>
      <c r="N270" s="9">
        <f>N271+N272</f>
        <v>407</v>
      </c>
    </row>
    <row r="271" spans="1:14" x14ac:dyDescent="0.3">
      <c r="A271" s="7"/>
      <c r="B271" s="7"/>
      <c r="C271" s="7"/>
      <c r="D271" s="7"/>
      <c r="E271" s="105" t="s">
        <v>339</v>
      </c>
      <c r="F271" s="283">
        <v>6267.7060799999999</v>
      </c>
      <c r="G271" s="283"/>
      <c r="H271" s="283">
        <v>6267.7060799999999</v>
      </c>
      <c r="I271" s="9">
        <v>0</v>
      </c>
      <c r="J271" s="380"/>
      <c r="K271" s="9">
        <v>0</v>
      </c>
      <c r="L271" s="9">
        <v>0</v>
      </c>
      <c r="M271" s="9"/>
      <c r="N271" s="9">
        <v>0</v>
      </c>
    </row>
    <row r="272" spans="1:14" x14ac:dyDescent="0.3">
      <c r="A272" s="7"/>
      <c r="B272" s="7"/>
      <c r="C272" s="7"/>
      <c r="D272" s="7"/>
      <c r="E272" s="6" t="s">
        <v>377</v>
      </c>
      <c r="F272" s="283">
        <v>1375.8379199999999</v>
      </c>
      <c r="G272" s="283"/>
      <c r="H272" s="283">
        <v>1375.8379199999999</v>
      </c>
      <c r="I272" s="9">
        <v>886</v>
      </c>
      <c r="J272" s="380"/>
      <c r="K272" s="9">
        <v>886</v>
      </c>
      <c r="L272" s="9">
        <v>407</v>
      </c>
      <c r="M272" s="9"/>
      <c r="N272" s="9">
        <v>407</v>
      </c>
    </row>
    <row r="273" spans="1:14" ht="40.200000000000003" x14ac:dyDescent="0.3">
      <c r="A273" s="223"/>
      <c r="B273" s="223"/>
      <c r="C273" s="223" t="s">
        <v>394</v>
      </c>
      <c r="D273" s="231"/>
      <c r="E273" s="224" t="s">
        <v>393</v>
      </c>
      <c r="F273" s="225">
        <f>F274</f>
        <v>583.29999999999995</v>
      </c>
      <c r="G273" s="225"/>
      <c r="H273" s="225">
        <f>H274</f>
        <v>583.29999999999995</v>
      </c>
      <c r="I273" s="225">
        <f>I274</f>
        <v>0</v>
      </c>
      <c r="J273" s="379"/>
      <c r="K273" s="225">
        <f>K274</f>
        <v>0</v>
      </c>
      <c r="L273" s="225">
        <f>L274</f>
        <v>0</v>
      </c>
      <c r="M273" s="225"/>
      <c r="N273" s="225">
        <f>N274</f>
        <v>0</v>
      </c>
    </row>
    <row r="274" spans="1:14" ht="27" x14ac:dyDescent="0.3">
      <c r="A274" s="8"/>
      <c r="B274" s="8"/>
      <c r="C274" s="7" t="s">
        <v>392</v>
      </c>
      <c r="D274" s="7"/>
      <c r="E274" s="6" t="s">
        <v>391</v>
      </c>
      <c r="F274" s="9">
        <f>F275</f>
        <v>583.29999999999995</v>
      </c>
      <c r="G274" s="9"/>
      <c r="H274" s="9">
        <f>H275</f>
        <v>583.29999999999995</v>
      </c>
      <c r="I274" s="9">
        <v>0</v>
      </c>
      <c r="J274" s="380"/>
      <c r="K274" s="9">
        <v>0</v>
      </c>
      <c r="L274" s="9">
        <v>0</v>
      </c>
      <c r="M274" s="9"/>
      <c r="N274" s="9">
        <v>0</v>
      </c>
    </row>
    <row r="275" spans="1:14" x14ac:dyDescent="0.3">
      <c r="A275" s="8"/>
      <c r="B275" s="8"/>
      <c r="C275" s="7"/>
      <c r="D275" s="7" t="s">
        <v>12</v>
      </c>
      <c r="E275" s="6" t="s">
        <v>11</v>
      </c>
      <c r="F275" s="9">
        <v>583.29999999999995</v>
      </c>
      <c r="G275" s="9"/>
      <c r="H275" s="9">
        <v>583.29999999999995</v>
      </c>
      <c r="I275" s="9">
        <v>0</v>
      </c>
      <c r="J275" s="380"/>
      <c r="K275" s="9">
        <v>0</v>
      </c>
      <c r="L275" s="9">
        <v>0</v>
      </c>
      <c r="M275" s="9"/>
      <c r="N275" s="9">
        <v>0</v>
      </c>
    </row>
    <row r="276" spans="1:14" x14ac:dyDescent="0.3">
      <c r="A276" s="26"/>
      <c r="B276" s="26"/>
      <c r="C276" s="18" t="s">
        <v>52</v>
      </c>
      <c r="D276" s="108"/>
      <c r="E276" s="17" t="s">
        <v>51</v>
      </c>
      <c r="F276" s="16">
        <f t="shared" ref="F276:N277" si="40">F277</f>
        <v>3297.7</v>
      </c>
      <c r="G276" s="16">
        <f t="shared" si="40"/>
        <v>0</v>
      </c>
      <c r="H276" s="16">
        <f t="shared" si="40"/>
        <v>3297.7</v>
      </c>
      <c r="I276" s="16">
        <f t="shared" si="40"/>
        <v>3364.2</v>
      </c>
      <c r="J276" s="390"/>
      <c r="K276" s="16">
        <f t="shared" si="40"/>
        <v>3364.2</v>
      </c>
      <c r="L276" s="16">
        <f t="shared" si="40"/>
        <v>3364.2</v>
      </c>
      <c r="M276" s="16"/>
      <c r="N276" s="16">
        <f t="shared" si="40"/>
        <v>3364.2</v>
      </c>
    </row>
    <row r="277" spans="1:14" s="78" customFormat="1" ht="26.4" x14ac:dyDescent="0.3">
      <c r="A277" s="107"/>
      <c r="B277" s="107"/>
      <c r="C277" s="45" t="s">
        <v>16</v>
      </c>
      <c r="D277" s="44"/>
      <c r="E277" s="89" t="s">
        <v>15</v>
      </c>
      <c r="F277" s="13">
        <f t="shared" si="40"/>
        <v>3297.7</v>
      </c>
      <c r="G277" s="13">
        <f t="shared" si="40"/>
        <v>0</v>
      </c>
      <c r="H277" s="13">
        <f t="shared" si="40"/>
        <v>3297.7</v>
      </c>
      <c r="I277" s="13">
        <f t="shared" si="40"/>
        <v>3364.2</v>
      </c>
      <c r="J277" s="391"/>
      <c r="K277" s="13">
        <f t="shared" si="40"/>
        <v>3364.2</v>
      </c>
      <c r="L277" s="13">
        <f t="shared" si="40"/>
        <v>3364.2</v>
      </c>
      <c r="M277" s="13"/>
      <c r="N277" s="13">
        <f t="shared" si="40"/>
        <v>3364.2</v>
      </c>
    </row>
    <row r="278" spans="1:14" ht="27" x14ac:dyDescent="0.3">
      <c r="A278" s="8"/>
      <c r="B278" s="8"/>
      <c r="C278" s="7" t="s">
        <v>390</v>
      </c>
      <c r="D278" s="7"/>
      <c r="E278" s="6" t="s">
        <v>389</v>
      </c>
      <c r="F278" s="9">
        <f>F279+F280+F281</f>
        <v>3297.7</v>
      </c>
      <c r="G278" s="9"/>
      <c r="H278" s="9">
        <f>H279+H280+H281</f>
        <v>3297.7</v>
      </c>
      <c r="I278" s="9">
        <f>I279+I280+I281</f>
        <v>3364.2</v>
      </c>
      <c r="J278" s="380"/>
      <c r="K278" s="9">
        <f>K279+K280+K281</f>
        <v>3364.2</v>
      </c>
      <c r="L278" s="9">
        <f>L279+L280+L281</f>
        <v>3364.2</v>
      </c>
      <c r="M278" s="9"/>
      <c r="N278" s="9">
        <f>N279+N280+N281</f>
        <v>3364.2</v>
      </c>
    </row>
    <row r="279" spans="1:14" ht="40.200000000000003" x14ac:dyDescent="0.3">
      <c r="A279" s="8"/>
      <c r="B279" s="8"/>
      <c r="C279" s="61"/>
      <c r="D279" s="7" t="s">
        <v>2</v>
      </c>
      <c r="E279" s="6" t="s">
        <v>1</v>
      </c>
      <c r="F279" s="9">
        <v>3141.1</v>
      </c>
      <c r="G279" s="9"/>
      <c r="H279" s="9">
        <v>3141.1</v>
      </c>
      <c r="I279" s="9">
        <v>3262.2</v>
      </c>
      <c r="J279" s="380"/>
      <c r="K279" s="9">
        <v>3262.2</v>
      </c>
      <c r="L279" s="9">
        <v>3262.2</v>
      </c>
      <c r="M279" s="9"/>
      <c r="N279" s="9">
        <v>3262.2</v>
      </c>
    </row>
    <row r="280" spans="1:14" x14ac:dyDescent="0.3">
      <c r="A280" s="8"/>
      <c r="B280" s="8"/>
      <c r="C280" s="61"/>
      <c r="D280" s="7" t="s">
        <v>12</v>
      </c>
      <c r="E280" s="6" t="s">
        <v>11</v>
      </c>
      <c r="F280" s="9">
        <v>154.4</v>
      </c>
      <c r="G280" s="9"/>
      <c r="H280" s="9">
        <f>99.8+54.6</f>
        <v>154.4</v>
      </c>
      <c r="I280" s="9">
        <v>99.8</v>
      </c>
      <c r="J280" s="380"/>
      <c r="K280" s="9">
        <v>99.8</v>
      </c>
      <c r="L280" s="9">
        <v>99.8</v>
      </c>
      <c r="M280" s="9"/>
      <c r="N280" s="9">
        <v>99.8</v>
      </c>
    </row>
    <row r="281" spans="1:14" x14ac:dyDescent="0.3">
      <c r="A281" s="8"/>
      <c r="B281" s="8"/>
      <c r="C281" s="61"/>
      <c r="D281" s="55" t="s">
        <v>22</v>
      </c>
      <c r="E281" s="56" t="s">
        <v>21</v>
      </c>
      <c r="F281" s="9">
        <v>2.2000000000000002</v>
      </c>
      <c r="G281" s="9"/>
      <c r="H281" s="9">
        <v>2.2000000000000002</v>
      </c>
      <c r="I281" s="9">
        <v>2.2000000000000002</v>
      </c>
      <c r="J281" s="380"/>
      <c r="K281" s="9">
        <v>2.2000000000000002</v>
      </c>
      <c r="L281" s="9">
        <v>2.2000000000000002</v>
      </c>
      <c r="M281" s="9"/>
      <c r="N281" s="9">
        <v>2.2000000000000002</v>
      </c>
    </row>
    <row r="282" spans="1:14" x14ac:dyDescent="0.3">
      <c r="A282" s="21"/>
      <c r="B282" s="23" t="s">
        <v>388</v>
      </c>
      <c r="C282" s="22"/>
      <c r="D282" s="21"/>
      <c r="E282" s="20" t="s">
        <v>387</v>
      </c>
      <c r="F282" s="27">
        <f t="shared" ref="F282:L282" si="41">F283+F311+F349</f>
        <v>76192.726150000002</v>
      </c>
      <c r="G282" s="27">
        <f t="shared" si="41"/>
        <v>2385.8000000000002</v>
      </c>
      <c r="H282" s="27">
        <f t="shared" si="41"/>
        <v>78578.526149999991</v>
      </c>
      <c r="I282" s="27">
        <f t="shared" si="41"/>
        <v>36093.758490000007</v>
      </c>
      <c r="J282" s="27">
        <f t="shared" si="41"/>
        <v>0</v>
      </c>
      <c r="K282" s="27">
        <f t="shared" si="41"/>
        <v>36093.758489999993</v>
      </c>
      <c r="L282" s="27">
        <f t="shared" si="41"/>
        <v>39636.169170000008</v>
      </c>
      <c r="M282" s="27"/>
      <c r="N282" s="27">
        <f>N283+N311+N349</f>
        <v>39636.169170000008</v>
      </c>
    </row>
    <row r="283" spans="1:14" x14ac:dyDescent="0.3">
      <c r="A283" s="21"/>
      <c r="B283" s="23" t="s">
        <v>386</v>
      </c>
      <c r="C283" s="22"/>
      <c r="D283" s="21"/>
      <c r="E283" s="20" t="s">
        <v>385</v>
      </c>
      <c r="F283" s="27">
        <f>F284</f>
        <v>3097.72552</v>
      </c>
      <c r="G283" s="27"/>
      <c r="H283" s="27">
        <f>H284</f>
        <v>3097.72552</v>
      </c>
      <c r="I283" s="27">
        <f>I284</f>
        <v>426.07136999999994</v>
      </c>
      <c r="J283" s="381"/>
      <c r="K283" s="27">
        <f>K284</f>
        <v>426.07136999999994</v>
      </c>
      <c r="L283" s="27">
        <f>L284</f>
        <v>3997.009</v>
      </c>
      <c r="M283" s="27"/>
      <c r="N283" s="27">
        <f>N284</f>
        <v>3997.009</v>
      </c>
    </row>
    <row r="284" spans="1:14" x14ac:dyDescent="0.3">
      <c r="A284" s="21"/>
      <c r="B284" s="23"/>
      <c r="C284" s="22" t="s">
        <v>36</v>
      </c>
      <c r="D284" s="21"/>
      <c r="E284" s="28" t="s">
        <v>35</v>
      </c>
      <c r="F284" s="27">
        <f>F291+F305+F285</f>
        <v>3097.72552</v>
      </c>
      <c r="G284" s="27"/>
      <c r="H284" s="27">
        <f>H291+H305+H285</f>
        <v>3097.72552</v>
      </c>
      <c r="I284" s="27">
        <f>I291+I305+I285</f>
        <v>426.07136999999994</v>
      </c>
      <c r="J284" s="381"/>
      <c r="K284" s="27">
        <f>K291+K305+K285</f>
        <v>426.07136999999994</v>
      </c>
      <c r="L284" s="27">
        <f>L291+L305</f>
        <v>3997.009</v>
      </c>
      <c r="M284" s="27"/>
      <c r="N284" s="27">
        <f>N291+N305</f>
        <v>3997.009</v>
      </c>
    </row>
    <row r="285" spans="1:14" ht="26.4" x14ac:dyDescent="0.3">
      <c r="A285" s="54"/>
      <c r="B285" s="34"/>
      <c r="C285" s="35" t="s">
        <v>272</v>
      </c>
      <c r="D285" s="34"/>
      <c r="E285" s="33" t="s">
        <v>271</v>
      </c>
      <c r="F285" s="32">
        <f t="shared" ref="F285:K287" si="42">F286</f>
        <v>0</v>
      </c>
      <c r="G285" s="32"/>
      <c r="H285" s="32">
        <f t="shared" si="42"/>
        <v>0</v>
      </c>
      <c r="I285" s="32">
        <f t="shared" si="42"/>
        <v>2.24472</v>
      </c>
      <c r="J285" s="377"/>
      <c r="K285" s="32">
        <f t="shared" si="42"/>
        <v>2.24472</v>
      </c>
      <c r="L285" s="32">
        <v>0</v>
      </c>
      <c r="M285" s="32"/>
      <c r="N285" s="32">
        <v>0</v>
      </c>
    </row>
    <row r="286" spans="1:14" ht="27" x14ac:dyDescent="0.3">
      <c r="A286" s="223"/>
      <c r="B286" s="223"/>
      <c r="C286" s="223" t="s">
        <v>628</v>
      </c>
      <c r="D286" s="223"/>
      <c r="E286" s="224" t="s">
        <v>629</v>
      </c>
      <c r="F286" s="225">
        <f t="shared" si="42"/>
        <v>0</v>
      </c>
      <c r="G286" s="225"/>
      <c r="H286" s="225">
        <f t="shared" si="42"/>
        <v>0</v>
      </c>
      <c r="I286" s="225">
        <f t="shared" si="42"/>
        <v>2.24472</v>
      </c>
      <c r="J286" s="379"/>
      <c r="K286" s="225">
        <f t="shared" si="42"/>
        <v>2.24472</v>
      </c>
      <c r="L286" s="225">
        <v>0</v>
      </c>
      <c r="M286" s="225"/>
      <c r="N286" s="225">
        <v>0</v>
      </c>
    </row>
    <row r="287" spans="1:14" ht="27" x14ac:dyDescent="0.3">
      <c r="A287" s="21"/>
      <c r="B287" s="23"/>
      <c r="C287" s="7" t="s">
        <v>626</v>
      </c>
      <c r="D287" s="7"/>
      <c r="E287" s="6" t="s">
        <v>627</v>
      </c>
      <c r="F287" s="27">
        <f t="shared" si="42"/>
        <v>0</v>
      </c>
      <c r="G287" s="27"/>
      <c r="H287" s="27">
        <f t="shared" si="42"/>
        <v>0</v>
      </c>
      <c r="I287" s="27">
        <f t="shared" si="42"/>
        <v>2.24472</v>
      </c>
      <c r="J287" s="381"/>
      <c r="K287" s="27">
        <f t="shared" si="42"/>
        <v>2.24472</v>
      </c>
      <c r="L287" s="27">
        <v>0</v>
      </c>
      <c r="M287" s="27"/>
      <c r="N287" s="27">
        <v>0</v>
      </c>
    </row>
    <row r="288" spans="1:14" ht="27" x14ac:dyDescent="0.3">
      <c r="A288" s="21"/>
      <c r="B288" s="23"/>
      <c r="C288" s="7"/>
      <c r="D288" s="7" t="s">
        <v>276</v>
      </c>
      <c r="E288" s="6" t="s">
        <v>275</v>
      </c>
      <c r="F288" s="27">
        <f>F289+F290</f>
        <v>0</v>
      </c>
      <c r="G288" s="27"/>
      <c r="H288" s="27">
        <f>H289+H290</f>
        <v>0</v>
      </c>
      <c r="I288" s="27">
        <f>I289+I290</f>
        <v>2.24472</v>
      </c>
      <c r="J288" s="381"/>
      <c r="K288" s="27">
        <f>K289+K290</f>
        <v>2.24472</v>
      </c>
      <c r="L288" s="27">
        <v>0</v>
      </c>
      <c r="M288" s="27"/>
      <c r="N288" s="27">
        <v>0</v>
      </c>
    </row>
    <row r="289" spans="1:14" x14ac:dyDescent="0.3">
      <c r="A289" s="21"/>
      <c r="B289" s="23"/>
      <c r="C289" s="22"/>
      <c r="D289" s="21"/>
      <c r="E289" s="102" t="s">
        <v>332</v>
      </c>
      <c r="F289" s="282">
        <v>0</v>
      </c>
      <c r="G289" s="282"/>
      <c r="H289" s="282">
        <v>0</v>
      </c>
      <c r="I289" s="282">
        <v>2.24472</v>
      </c>
      <c r="J289" s="392"/>
      <c r="K289" s="282">
        <v>2.24472</v>
      </c>
      <c r="L289" s="27">
        <v>0</v>
      </c>
      <c r="M289" s="27"/>
      <c r="N289" s="27">
        <v>0</v>
      </c>
    </row>
    <row r="290" spans="1:14" x14ac:dyDescent="0.3">
      <c r="A290" s="21"/>
      <c r="B290" s="23"/>
      <c r="C290" s="22"/>
      <c r="D290" s="21"/>
      <c r="E290" s="102" t="s">
        <v>625</v>
      </c>
      <c r="F290" s="282">
        <v>0</v>
      </c>
      <c r="G290" s="282"/>
      <c r="H290" s="282">
        <v>0</v>
      </c>
      <c r="I290" s="27">
        <v>0</v>
      </c>
      <c r="J290" s="381"/>
      <c r="K290" s="27">
        <v>0</v>
      </c>
      <c r="L290" s="27">
        <v>0</v>
      </c>
      <c r="M290" s="27"/>
      <c r="N290" s="27">
        <v>0</v>
      </c>
    </row>
    <row r="291" spans="1:14" ht="26.4" x14ac:dyDescent="0.3">
      <c r="A291" s="54"/>
      <c r="B291" s="34"/>
      <c r="C291" s="35" t="s">
        <v>289</v>
      </c>
      <c r="D291" s="34"/>
      <c r="E291" s="33" t="s">
        <v>288</v>
      </c>
      <c r="F291" s="32">
        <f>F292</f>
        <v>3097.72552</v>
      </c>
      <c r="G291" s="32"/>
      <c r="H291" s="32">
        <f>H292</f>
        <v>3097.72552</v>
      </c>
      <c r="I291" s="32">
        <f>I292</f>
        <v>229.22756999999999</v>
      </c>
      <c r="J291" s="377"/>
      <c r="K291" s="32">
        <f>K292</f>
        <v>229.22756999999999</v>
      </c>
      <c r="L291" s="32">
        <f>L292</f>
        <v>3003.9</v>
      </c>
      <c r="M291" s="32"/>
      <c r="N291" s="32">
        <f>N292</f>
        <v>3003.9</v>
      </c>
    </row>
    <row r="292" spans="1:14" ht="27" x14ac:dyDescent="0.3">
      <c r="A292" s="223"/>
      <c r="B292" s="223"/>
      <c r="C292" s="223" t="s">
        <v>287</v>
      </c>
      <c r="D292" s="223"/>
      <c r="E292" s="224" t="s">
        <v>286</v>
      </c>
      <c r="F292" s="225">
        <f>F293+F297+F301+F295+F299</f>
        <v>3097.72552</v>
      </c>
      <c r="G292" s="225"/>
      <c r="H292" s="225">
        <f>H293+H297+H301+H295+H299</f>
        <v>3097.72552</v>
      </c>
      <c r="I292" s="225">
        <f>I293+I297+I301+I295+I299</f>
        <v>229.22756999999999</v>
      </c>
      <c r="J292" s="379"/>
      <c r="K292" s="225">
        <f>K293+K297+K301+K295+K299</f>
        <v>229.22756999999999</v>
      </c>
      <c r="L292" s="225">
        <f>L293+L297+L301+L295+L299</f>
        <v>3003.9</v>
      </c>
      <c r="M292" s="225"/>
      <c r="N292" s="225">
        <f>N293+N297+N301+N295+N299</f>
        <v>3003.9</v>
      </c>
    </row>
    <row r="293" spans="1:14" ht="40.200000000000003" x14ac:dyDescent="0.3">
      <c r="A293" s="8"/>
      <c r="B293" s="8"/>
      <c r="C293" s="7" t="s">
        <v>384</v>
      </c>
      <c r="D293" s="7"/>
      <c r="E293" s="82" t="s">
        <v>383</v>
      </c>
      <c r="F293" s="9">
        <f>F294</f>
        <v>110.6</v>
      </c>
      <c r="G293" s="9"/>
      <c r="H293" s="9">
        <f>H294</f>
        <v>110.6</v>
      </c>
      <c r="I293" s="9">
        <f>I294</f>
        <v>110.6</v>
      </c>
      <c r="J293" s="380"/>
      <c r="K293" s="9">
        <f>K294</f>
        <v>110.6</v>
      </c>
      <c r="L293" s="9">
        <f>L294</f>
        <v>110.6</v>
      </c>
      <c r="M293" s="9"/>
      <c r="N293" s="9">
        <f>N294</f>
        <v>110.6</v>
      </c>
    </row>
    <row r="294" spans="1:14" x14ac:dyDescent="0.3">
      <c r="A294" s="8"/>
      <c r="B294" s="8"/>
      <c r="C294" s="7"/>
      <c r="D294" s="7" t="s">
        <v>12</v>
      </c>
      <c r="E294" s="6" t="s">
        <v>11</v>
      </c>
      <c r="F294" s="9">
        <v>110.6</v>
      </c>
      <c r="G294" s="9"/>
      <c r="H294" s="9">
        <v>110.6</v>
      </c>
      <c r="I294" s="9">
        <v>110.6</v>
      </c>
      <c r="J294" s="380"/>
      <c r="K294" s="9">
        <v>110.6</v>
      </c>
      <c r="L294" s="9">
        <v>110.6</v>
      </c>
      <c r="M294" s="9"/>
      <c r="N294" s="9">
        <v>110.6</v>
      </c>
    </row>
    <row r="295" spans="1:14" ht="27" x14ac:dyDescent="0.3">
      <c r="A295" s="8"/>
      <c r="B295" s="8"/>
      <c r="C295" s="7" t="s">
        <v>285</v>
      </c>
      <c r="D295" s="7"/>
      <c r="E295" s="82" t="s">
        <v>284</v>
      </c>
      <c r="F295" s="9">
        <f>F296</f>
        <v>2368.4</v>
      </c>
      <c r="G295" s="9"/>
      <c r="H295" s="9">
        <f>H296</f>
        <v>2368.4</v>
      </c>
      <c r="I295" s="9">
        <f>I296</f>
        <v>0</v>
      </c>
      <c r="J295" s="380"/>
      <c r="K295" s="9">
        <f>K296</f>
        <v>0</v>
      </c>
      <c r="L295" s="9">
        <f>L296</f>
        <v>2368.4</v>
      </c>
      <c r="M295" s="9"/>
      <c r="N295" s="9">
        <f>N296</f>
        <v>2368.4</v>
      </c>
    </row>
    <row r="296" spans="1:14" x14ac:dyDescent="0.3">
      <c r="A296" s="8"/>
      <c r="B296" s="8"/>
      <c r="C296" s="7"/>
      <c r="D296" s="7" t="s">
        <v>12</v>
      </c>
      <c r="E296" s="6" t="s">
        <v>11</v>
      </c>
      <c r="F296" s="9">
        <v>2368.4</v>
      </c>
      <c r="G296" s="9"/>
      <c r="H296" s="9">
        <v>2368.4</v>
      </c>
      <c r="I296" s="9">
        <v>0</v>
      </c>
      <c r="J296" s="380"/>
      <c r="K296" s="9">
        <v>0</v>
      </c>
      <c r="L296" s="9">
        <v>2368.4</v>
      </c>
      <c r="M296" s="9"/>
      <c r="N296" s="9">
        <v>2368.4</v>
      </c>
    </row>
    <row r="297" spans="1:14" ht="27" x14ac:dyDescent="0.3">
      <c r="A297" s="8"/>
      <c r="B297" s="8"/>
      <c r="C297" s="7" t="s">
        <v>382</v>
      </c>
      <c r="D297" s="7"/>
      <c r="E297" s="6" t="s">
        <v>381</v>
      </c>
      <c r="F297" s="9">
        <f>F298</f>
        <v>35.299999999999997</v>
      </c>
      <c r="G297" s="9"/>
      <c r="H297" s="9">
        <f>H298</f>
        <v>35.299999999999997</v>
      </c>
      <c r="I297" s="9">
        <f>I298</f>
        <v>35.299999999999997</v>
      </c>
      <c r="J297" s="380"/>
      <c r="K297" s="9">
        <f>K298</f>
        <v>35.299999999999997</v>
      </c>
      <c r="L297" s="9">
        <f>L298</f>
        <v>35.299999999999997</v>
      </c>
      <c r="M297" s="9"/>
      <c r="N297" s="9">
        <f>N298</f>
        <v>35.299999999999997</v>
      </c>
    </row>
    <row r="298" spans="1:14" x14ac:dyDescent="0.3">
      <c r="A298" s="8"/>
      <c r="B298" s="8"/>
      <c r="C298" s="7"/>
      <c r="D298" s="7" t="s">
        <v>12</v>
      </c>
      <c r="E298" s="6" t="s">
        <v>11</v>
      </c>
      <c r="F298" s="9">
        <v>35.299999999999997</v>
      </c>
      <c r="G298" s="9"/>
      <c r="H298" s="9">
        <v>35.299999999999997</v>
      </c>
      <c r="I298" s="9">
        <v>35.299999999999997</v>
      </c>
      <c r="J298" s="380"/>
      <c r="K298" s="9">
        <v>35.299999999999997</v>
      </c>
      <c r="L298" s="9">
        <v>35.299999999999997</v>
      </c>
      <c r="M298" s="9"/>
      <c r="N298" s="9">
        <v>35.299999999999997</v>
      </c>
    </row>
    <row r="299" spans="1:14" ht="27" x14ac:dyDescent="0.3">
      <c r="A299" s="8"/>
      <c r="B299" s="8"/>
      <c r="C299" s="7" t="s">
        <v>598</v>
      </c>
      <c r="D299" s="7"/>
      <c r="E299" s="6" t="s">
        <v>599</v>
      </c>
      <c r="F299" s="9">
        <f>F300</f>
        <v>489.6</v>
      </c>
      <c r="G299" s="9"/>
      <c r="H299" s="9">
        <f>H300</f>
        <v>489.6</v>
      </c>
      <c r="I299" s="9">
        <f>I300</f>
        <v>0</v>
      </c>
      <c r="J299" s="380"/>
      <c r="K299" s="9">
        <f>K300</f>
        <v>0</v>
      </c>
      <c r="L299" s="9">
        <f>L300</f>
        <v>489.6</v>
      </c>
      <c r="M299" s="9"/>
      <c r="N299" s="9">
        <f>N300</f>
        <v>489.6</v>
      </c>
    </row>
    <row r="300" spans="1:14" x14ac:dyDescent="0.3">
      <c r="A300" s="8"/>
      <c r="B300" s="8"/>
      <c r="C300" s="7"/>
      <c r="D300" s="7" t="s">
        <v>12</v>
      </c>
      <c r="E300" s="6" t="s">
        <v>11</v>
      </c>
      <c r="F300" s="9">
        <v>489.6</v>
      </c>
      <c r="G300" s="9"/>
      <c r="H300" s="9">
        <v>489.6</v>
      </c>
      <c r="I300" s="9">
        <v>0</v>
      </c>
      <c r="J300" s="380"/>
      <c r="K300" s="9">
        <v>0</v>
      </c>
      <c r="L300" s="9">
        <v>489.6</v>
      </c>
      <c r="M300" s="9"/>
      <c r="N300" s="9">
        <v>489.6</v>
      </c>
    </row>
    <row r="301" spans="1:14" ht="27" x14ac:dyDescent="0.3">
      <c r="A301" s="8"/>
      <c r="B301" s="8"/>
      <c r="C301" s="7" t="s">
        <v>380</v>
      </c>
      <c r="D301" s="7"/>
      <c r="E301" s="6" t="s">
        <v>379</v>
      </c>
      <c r="F301" s="9">
        <f>F302</f>
        <v>93.825519999999997</v>
      </c>
      <c r="G301" s="9"/>
      <c r="H301" s="9">
        <f>H302</f>
        <v>93.825519999999997</v>
      </c>
      <c r="I301" s="9">
        <f>I302</f>
        <v>83.327570000000009</v>
      </c>
      <c r="J301" s="380"/>
      <c r="K301" s="9">
        <f>K302</f>
        <v>83.327570000000009</v>
      </c>
      <c r="L301" s="9">
        <v>0</v>
      </c>
      <c r="M301" s="9"/>
      <c r="N301" s="9">
        <v>0</v>
      </c>
    </row>
    <row r="302" spans="1:14" x14ac:dyDescent="0.3">
      <c r="A302" s="8"/>
      <c r="B302" s="8"/>
      <c r="C302" s="7"/>
      <c r="D302" s="7" t="s">
        <v>12</v>
      </c>
      <c r="E302" s="6" t="s">
        <v>11</v>
      </c>
      <c r="F302" s="9">
        <f>F303+F304</f>
        <v>93.825519999999997</v>
      </c>
      <c r="G302" s="9"/>
      <c r="H302" s="9">
        <f>H303+H304</f>
        <v>93.825519999999997</v>
      </c>
      <c r="I302" s="9">
        <f>I303+I304</f>
        <v>83.327570000000009</v>
      </c>
      <c r="J302" s="380"/>
      <c r="K302" s="9">
        <f>K303+K304</f>
        <v>83.327570000000009</v>
      </c>
      <c r="L302" s="9">
        <v>0</v>
      </c>
      <c r="M302" s="9"/>
      <c r="N302" s="9">
        <v>0</v>
      </c>
    </row>
    <row r="303" spans="1:14" x14ac:dyDescent="0.3">
      <c r="A303" s="8"/>
      <c r="B303" s="8"/>
      <c r="C303" s="7"/>
      <c r="D303" s="7"/>
      <c r="E303" s="6" t="s">
        <v>378</v>
      </c>
      <c r="F303" s="9">
        <v>91.948999999999998</v>
      </c>
      <c r="G303" s="9"/>
      <c r="H303" s="9">
        <v>91.948999999999998</v>
      </c>
      <c r="I303" s="9">
        <v>81.661000000000001</v>
      </c>
      <c r="J303" s="380"/>
      <c r="K303" s="9">
        <v>81.661000000000001</v>
      </c>
      <c r="L303" s="9">
        <v>0</v>
      </c>
      <c r="M303" s="9"/>
      <c r="N303" s="9">
        <v>0</v>
      </c>
    </row>
    <row r="304" spans="1:14" x14ac:dyDescent="0.3">
      <c r="A304" s="8"/>
      <c r="B304" s="8"/>
      <c r="C304" s="7"/>
      <c r="D304" s="7"/>
      <c r="E304" s="6" t="s">
        <v>377</v>
      </c>
      <c r="F304" s="9">
        <v>1.87652</v>
      </c>
      <c r="G304" s="9"/>
      <c r="H304" s="9">
        <v>1.87652</v>
      </c>
      <c r="I304" s="9">
        <v>1.6665700000000001</v>
      </c>
      <c r="J304" s="380"/>
      <c r="K304" s="9">
        <v>1.6665700000000001</v>
      </c>
      <c r="L304" s="9">
        <v>0</v>
      </c>
      <c r="M304" s="9"/>
      <c r="N304" s="9">
        <v>0</v>
      </c>
    </row>
    <row r="305" spans="1:14" ht="39.6" x14ac:dyDescent="0.3">
      <c r="A305" s="54"/>
      <c r="B305" s="34"/>
      <c r="C305" s="35" t="s">
        <v>376</v>
      </c>
      <c r="D305" s="34"/>
      <c r="E305" s="33" t="s">
        <v>375</v>
      </c>
      <c r="F305" s="32">
        <f>F306</f>
        <v>0</v>
      </c>
      <c r="G305" s="32"/>
      <c r="H305" s="32">
        <f t="shared" ref="H305:I307" si="43">H306</f>
        <v>0</v>
      </c>
      <c r="I305" s="32">
        <f t="shared" si="43"/>
        <v>194.59907999999999</v>
      </c>
      <c r="J305" s="377"/>
      <c r="K305" s="32">
        <f t="shared" ref="K305:L309" si="44">K306</f>
        <v>194.59907999999999</v>
      </c>
      <c r="L305" s="32">
        <f t="shared" si="44"/>
        <v>993.10900000000004</v>
      </c>
      <c r="M305" s="32"/>
      <c r="N305" s="32">
        <f>N306</f>
        <v>993.10900000000004</v>
      </c>
    </row>
    <row r="306" spans="1:14" ht="40.200000000000003" x14ac:dyDescent="0.3">
      <c r="A306" s="31"/>
      <c r="B306" s="31"/>
      <c r="C306" s="31" t="s">
        <v>374</v>
      </c>
      <c r="D306" s="106"/>
      <c r="E306" s="52" t="s">
        <v>373</v>
      </c>
      <c r="F306" s="29">
        <f>F307</f>
        <v>0</v>
      </c>
      <c r="G306" s="29"/>
      <c r="H306" s="29">
        <f t="shared" si="43"/>
        <v>0</v>
      </c>
      <c r="I306" s="29">
        <f t="shared" si="43"/>
        <v>194.59907999999999</v>
      </c>
      <c r="J306" s="378"/>
      <c r="K306" s="29">
        <f t="shared" si="44"/>
        <v>194.59907999999999</v>
      </c>
      <c r="L306" s="29">
        <f t="shared" si="44"/>
        <v>993.10900000000004</v>
      </c>
      <c r="M306" s="29"/>
      <c r="N306" s="29">
        <f>N307</f>
        <v>993.10900000000004</v>
      </c>
    </row>
    <row r="307" spans="1:14" ht="40.200000000000003" x14ac:dyDescent="0.3">
      <c r="A307" s="223"/>
      <c r="B307" s="223"/>
      <c r="C307" s="223" t="s">
        <v>372</v>
      </c>
      <c r="D307" s="231"/>
      <c r="E307" s="224" t="s">
        <v>371</v>
      </c>
      <c r="F307" s="237">
        <f>F308</f>
        <v>0</v>
      </c>
      <c r="G307" s="237"/>
      <c r="H307" s="237">
        <f t="shared" si="43"/>
        <v>0</v>
      </c>
      <c r="I307" s="237">
        <f t="shared" si="43"/>
        <v>194.59907999999999</v>
      </c>
      <c r="J307" s="395"/>
      <c r="K307" s="237">
        <f t="shared" si="44"/>
        <v>194.59907999999999</v>
      </c>
      <c r="L307" s="237">
        <f t="shared" si="44"/>
        <v>993.10900000000004</v>
      </c>
      <c r="M307" s="237"/>
      <c r="N307" s="237">
        <f>N308</f>
        <v>993.10900000000004</v>
      </c>
    </row>
    <row r="308" spans="1:14" ht="27" x14ac:dyDescent="0.3">
      <c r="A308" s="8"/>
      <c r="B308" s="8"/>
      <c r="C308" s="140" t="s">
        <v>619</v>
      </c>
      <c r="D308" s="7"/>
      <c r="E308" s="206" t="s">
        <v>808</v>
      </c>
      <c r="F308" s="9">
        <v>0</v>
      </c>
      <c r="G308" s="9"/>
      <c r="H308" s="9">
        <v>0</v>
      </c>
      <c r="I308" s="9">
        <f>I309</f>
        <v>194.59907999999999</v>
      </c>
      <c r="J308" s="380"/>
      <c r="K308" s="9">
        <f t="shared" si="44"/>
        <v>194.59907999999999</v>
      </c>
      <c r="L308" s="9">
        <f t="shared" si="44"/>
        <v>993.10900000000004</v>
      </c>
      <c r="M308" s="9"/>
      <c r="N308" s="9">
        <f>N309</f>
        <v>993.10900000000004</v>
      </c>
    </row>
    <row r="309" spans="1:14" ht="27" x14ac:dyDescent="0.3">
      <c r="A309" s="8"/>
      <c r="B309" s="8"/>
      <c r="C309" s="7"/>
      <c r="D309" s="7" t="s">
        <v>276</v>
      </c>
      <c r="E309" s="6" t="s">
        <v>275</v>
      </c>
      <c r="F309" s="9">
        <v>0</v>
      </c>
      <c r="G309" s="9"/>
      <c r="H309" s="9">
        <v>0</v>
      </c>
      <c r="I309" s="9">
        <f>I310</f>
        <v>194.59907999999999</v>
      </c>
      <c r="J309" s="380"/>
      <c r="K309" s="9">
        <f t="shared" si="44"/>
        <v>194.59907999999999</v>
      </c>
      <c r="L309" s="9">
        <f t="shared" si="44"/>
        <v>993.10900000000004</v>
      </c>
      <c r="M309" s="9"/>
      <c r="N309" s="9">
        <f>N310</f>
        <v>993.10900000000004</v>
      </c>
    </row>
    <row r="310" spans="1:14" x14ac:dyDescent="0.3">
      <c r="A310" s="8"/>
      <c r="B310" s="8"/>
      <c r="C310" s="7"/>
      <c r="D310" s="7"/>
      <c r="E310" s="105" t="s">
        <v>164</v>
      </c>
      <c r="F310" s="9">
        <v>0</v>
      </c>
      <c r="G310" s="9"/>
      <c r="H310" s="9">
        <v>0</v>
      </c>
      <c r="I310" s="281">
        <v>194.59907999999999</v>
      </c>
      <c r="J310" s="389"/>
      <c r="K310" s="281">
        <v>194.59907999999999</v>
      </c>
      <c r="L310" s="281">
        <v>993.10900000000004</v>
      </c>
      <c r="M310" s="281"/>
      <c r="N310" s="281">
        <v>993.10900000000004</v>
      </c>
    </row>
    <row r="311" spans="1:14" x14ac:dyDescent="0.3">
      <c r="A311" s="21"/>
      <c r="B311" s="23" t="s">
        <v>370</v>
      </c>
      <c r="C311" s="22"/>
      <c r="D311" s="21"/>
      <c r="E311" s="20" t="s">
        <v>369</v>
      </c>
      <c r="F311" s="27">
        <f>F312+F343</f>
        <v>27775.029310000002</v>
      </c>
      <c r="G311" s="27">
        <f>G312+G343</f>
        <v>2334.9</v>
      </c>
      <c r="H311" s="27">
        <f>H312+H343</f>
        <v>30109.929310000003</v>
      </c>
      <c r="I311" s="27">
        <f>I312+I343</f>
        <v>2477.6</v>
      </c>
      <c r="J311" s="381"/>
      <c r="K311" s="27">
        <f>K312+K343</f>
        <v>2477.6</v>
      </c>
      <c r="L311" s="27">
        <f>L312+L343</f>
        <v>3993.1</v>
      </c>
      <c r="M311" s="27"/>
      <c r="N311" s="27">
        <f>N312+N343</f>
        <v>3993.1</v>
      </c>
    </row>
    <row r="312" spans="1:14" x14ac:dyDescent="0.3">
      <c r="A312" s="21"/>
      <c r="B312" s="55"/>
      <c r="C312" s="22" t="s">
        <v>36</v>
      </c>
      <c r="D312" s="21"/>
      <c r="E312" s="28" t="s">
        <v>35</v>
      </c>
      <c r="F312" s="27">
        <f>F313</f>
        <v>24771.229310000002</v>
      </c>
      <c r="G312" s="27"/>
      <c r="H312" s="27">
        <f>H313</f>
        <v>24771.229310000002</v>
      </c>
      <c r="I312" s="27">
        <f>I313</f>
        <v>2477.6</v>
      </c>
      <c r="J312" s="381"/>
      <c r="K312" s="27">
        <f>K313</f>
        <v>2477.6</v>
      </c>
      <c r="L312" s="27">
        <f>L313</f>
        <v>3993.1</v>
      </c>
      <c r="M312" s="27"/>
      <c r="N312" s="27">
        <f>N313</f>
        <v>3993.1</v>
      </c>
    </row>
    <row r="313" spans="1:14" ht="26.4" x14ac:dyDescent="0.3">
      <c r="A313" s="54"/>
      <c r="B313" s="34"/>
      <c r="C313" s="35" t="s">
        <v>313</v>
      </c>
      <c r="D313" s="34"/>
      <c r="E313" s="33" t="s">
        <v>312</v>
      </c>
      <c r="F313" s="32">
        <f>F314+F318</f>
        <v>24771.229310000002</v>
      </c>
      <c r="G313" s="32"/>
      <c r="H313" s="32">
        <f>H314+H318</f>
        <v>24771.229310000002</v>
      </c>
      <c r="I313" s="32">
        <f>I314+I318</f>
        <v>2477.6</v>
      </c>
      <c r="J313" s="377"/>
      <c r="K313" s="32">
        <f>K314+K318</f>
        <v>2477.6</v>
      </c>
      <c r="L313" s="32">
        <f>L314+L318</f>
        <v>3993.1</v>
      </c>
      <c r="M313" s="32"/>
      <c r="N313" s="32">
        <f>N314+N318</f>
        <v>3993.1</v>
      </c>
    </row>
    <row r="314" spans="1:14" ht="27" x14ac:dyDescent="0.3">
      <c r="A314" s="31"/>
      <c r="B314" s="31"/>
      <c r="C314" s="31" t="s">
        <v>311</v>
      </c>
      <c r="D314" s="31"/>
      <c r="E314" s="83" t="s">
        <v>310</v>
      </c>
      <c r="F314" s="29">
        <f t="shared" ref="F314:N315" si="45">F315</f>
        <v>648.5</v>
      </c>
      <c r="G314" s="29"/>
      <c r="H314" s="29">
        <f t="shared" si="45"/>
        <v>648.5</v>
      </c>
      <c r="I314" s="29">
        <f t="shared" si="45"/>
        <v>154</v>
      </c>
      <c r="J314" s="378"/>
      <c r="K314" s="29">
        <f t="shared" si="45"/>
        <v>154</v>
      </c>
      <c r="L314" s="29">
        <f t="shared" si="45"/>
        <v>0</v>
      </c>
      <c r="M314" s="29"/>
      <c r="N314" s="29">
        <f t="shared" si="45"/>
        <v>0</v>
      </c>
    </row>
    <row r="315" spans="1:14" x14ac:dyDescent="0.3">
      <c r="A315" s="223"/>
      <c r="B315" s="223"/>
      <c r="C315" s="223" t="s">
        <v>309</v>
      </c>
      <c r="D315" s="231"/>
      <c r="E315" s="236" t="s">
        <v>308</v>
      </c>
      <c r="F315" s="225">
        <f t="shared" si="45"/>
        <v>648.5</v>
      </c>
      <c r="G315" s="225"/>
      <c r="H315" s="225">
        <f t="shared" si="45"/>
        <v>648.5</v>
      </c>
      <c r="I315" s="225">
        <f t="shared" si="45"/>
        <v>154</v>
      </c>
      <c r="J315" s="379"/>
      <c r="K315" s="225">
        <f t="shared" si="45"/>
        <v>154</v>
      </c>
      <c r="L315" s="225">
        <f t="shared" si="45"/>
        <v>0</v>
      </c>
      <c r="M315" s="225"/>
      <c r="N315" s="225">
        <f t="shared" si="45"/>
        <v>0</v>
      </c>
    </row>
    <row r="316" spans="1:14" x14ac:dyDescent="0.3">
      <c r="A316" s="8"/>
      <c r="B316" s="8"/>
      <c r="C316" s="7" t="s">
        <v>368</v>
      </c>
      <c r="D316" s="75"/>
      <c r="E316" s="12" t="s">
        <v>367</v>
      </c>
      <c r="F316" s="5">
        <f>F317</f>
        <v>648.5</v>
      </c>
      <c r="G316" s="5"/>
      <c r="H316" s="5">
        <f>H317</f>
        <v>648.5</v>
      </c>
      <c r="I316" s="5">
        <f>I317</f>
        <v>154</v>
      </c>
      <c r="J316" s="382"/>
      <c r="K316" s="5">
        <f>K317</f>
        <v>154</v>
      </c>
      <c r="L316" s="5">
        <v>0</v>
      </c>
      <c r="M316" s="5"/>
      <c r="N316" s="5">
        <v>0</v>
      </c>
    </row>
    <row r="317" spans="1:14" x14ac:dyDescent="0.3">
      <c r="A317" s="8"/>
      <c r="B317" s="8"/>
      <c r="C317" s="7"/>
      <c r="D317" s="7" t="s">
        <v>12</v>
      </c>
      <c r="E317" s="6" t="s">
        <v>11</v>
      </c>
      <c r="F317" s="5">
        <v>648.5</v>
      </c>
      <c r="G317" s="5"/>
      <c r="H317" s="5">
        <v>648.5</v>
      </c>
      <c r="I317" s="5">
        <v>154</v>
      </c>
      <c r="J317" s="382"/>
      <c r="K317" s="5">
        <v>154</v>
      </c>
      <c r="L317" s="5">
        <v>0</v>
      </c>
      <c r="M317" s="5"/>
      <c r="N317" s="5">
        <v>0</v>
      </c>
    </row>
    <row r="318" spans="1:14" ht="27" x14ac:dyDescent="0.3">
      <c r="A318" s="31"/>
      <c r="B318" s="31"/>
      <c r="C318" s="31" t="s">
        <v>366</v>
      </c>
      <c r="D318" s="31"/>
      <c r="E318" s="83" t="s">
        <v>365</v>
      </c>
      <c r="F318" s="29">
        <f>F319</f>
        <v>24122.729310000002</v>
      </c>
      <c r="G318" s="29">
        <f>G319</f>
        <v>0</v>
      </c>
      <c r="H318" s="29">
        <f>H319</f>
        <v>24122.729310000002</v>
      </c>
      <c r="I318" s="29">
        <f>I319</f>
        <v>2323.6</v>
      </c>
      <c r="J318" s="378"/>
      <c r="K318" s="29">
        <f>K319</f>
        <v>2323.6</v>
      </c>
      <c r="L318" s="29">
        <f>L319</f>
        <v>3993.1</v>
      </c>
      <c r="M318" s="29"/>
      <c r="N318" s="29">
        <f>N319</f>
        <v>3993.1</v>
      </c>
    </row>
    <row r="319" spans="1:14" ht="40.5" customHeight="1" x14ac:dyDescent="0.3">
      <c r="A319" s="223"/>
      <c r="B319" s="223"/>
      <c r="C319" s="223" t="s">
        <v>364</v>
      </c>
      <c r="D319" s="223"/>
      <c r="E319" s="236" t="s">
        <v>363</v>
      </c>
      <c r="F319" s="225">
        <f>F322+F324+F320+F326+F330+F332+F334+F336</f>
        <v>24122.729310000002</v>
      </c>
      <c r="G319" s="225">
        <f>G322+G324+G320+G326+G330+G332+G334+G336+G338</f>
        <v>0</v>
      </c>
      <c r="H319" s="225">
        <f>H322+H324+H320+H326+H330+H332+H334+H336+H338</f>
        <v>24122.729310000002</v>
      </c>
      <c r="I319" s="225">
        <f>I322+I324+I320+I326</f>
        <v>2323.6</v>
      </c>
      <c r="J319" s="379"/>
      <c r="K319" s="225">
        <f>K322+K324+K320+K326</f>
        <v>2323.6</v>
      </c>
      <c r="L319" s="225">
        <f>L322+L324+L320+L326</f>
        <v>3993.1</v>
      </c>
      <c r="M319" s="225"/>
      <c r="N319" s="225">
        <f>N322+N324+N320+N326</f>
        <v>3993.1</v>
      </c>
    </row>
    <row r="320" spans="1:14" x14ac:dyDescent="0.3">
      <c r="A320" s="61"/>
      <c r="B320" s="61"/>
      <c r="C320" s="55" t="s">
        <v>362</v>
      </c>
      <c r="D320" s="87"/>
      <c r="E320" s="10" t="s">
        <v>361</v>
      </c>
      <c r="F320" s="9">
        <f>F321</f>
        <v>120</v>
      </c>
      <c r="G320" s="9"/>
      <c r="H320" s="9">
        <f>H321</f>
        <v>120</v>
      </c>
      <c r="I320" s="9">
        <v>0</v>
      </c>
      <c r="J320" s="380"/>
      <c r="K320" s="9">
        <v>0</v>
      </c>
      <c r="L320" s="9">
        <v>0</v>
      </c>
      <c r="M320" s="9"/>
      <c r="N320" s="9">
        <v>0</v>
      </c>
    </row>
    <row r="321" spans="1:14" x14ac:dyDescent="0.3">
      <c r="A321" s="61"/>
      <c r="B321" s="61"/>
      <c r="C321" s="55"/>
      <c r="D321" s="7" t="s">
        <v>12</v>
      </c>
      <c r="E321" s="6" t="s">
        <v>11</v>
      </c>
      <c r="F321" s="9">
        <v>120</v>
      </c>
      <c r="G321" s="9"/>
      <c r="H321" s="9">
        <v>120</v>
      </c>
      <c r="I321" s="9">
        <v>0</v>
      </c>
      <c r="J321" s="380"/>
      <c r="K321" s="9">
        <v>0</v>
      </c>
      <c r="L321" s="9">
        <v>0</v>
      </c>
      <c r="M321" s="9"/>
      <c r="N321" s="9">
        <v>0</v>
      </c>
    </row>
    <row r="322" spans="1:14" x14ac:dyDescent="0.3">
      <c r="A322" s="7"/>
      <c r="B322" s="7"/>
      <c r="C322" s="7" t="s">
        <v>360</v>
      </c>
      <c r="D322" s="7"/>
      <c r="E322" s="12" t="s">
        <v>359</v>
      </c>
      <c r="F322" s="5">
        <f>F323</f>
        <v>2304.9</v>
      </c>
      <c r="G322" s="5"/>
      <c r="H322" s="5">
        <f>H323</f>
        <v>2304.9</v>
      </c>
      <c r="I322" s="5">
        <f>I323</f>
        <v>2323.6</v>
      </c>
      <c r="J322" s="382"/>
      <c r="K322" s="5">
        <f>K323</f>
        <v>2323.6</v>
      </c>
      <c r="L322" s="5">
        <f>L323</f>
        <v>3993.1</v>
      </c>
      <c r="M322" s="5"/>
      <c r="N322" s="5">
        <f>N323</f>
        <v>3993.1</v>
      </c>
    </row>
    <row r="323" spans="1:14" x14ac:dyDescent="0.3">
      <c r="A323" s="61"/>
      <c r="B323" s="61"/>
      <c r="C323" s="61"/>
      <c r="D323" s="7" t="s">
        <v>12</v>
      </c>
      <c r="E323" s="6" t="s">
        <v>11</v>
      </c>
      <c r="F323" s="5">
        <v>2304.9</v>
      </c>
      <c r="G323" s="5"/>
      <c r="H323" s="5">
        <v>2304.9</v>
      </c>
      <c r="I323" s="5">
        <v>2323.6</v>
      </c>
      <c r="J323" s="382"/>
      <c r="K323" s="5">
        <v>2323.6</v>
      </c>
      <c r="L323" s="5">
        <v>3993.1</v>
      </c>
      <c r="M323" s="5"/>
      <c r="N323" s="5">
        <v>3993.1</v>
      </c>
    </row>
    <row r="324" spans="1:14" ht="27" x14ac:dyDescent="0.3">
      <c r="A324" s="7"/>
      <c r="B324" s="7"/>
      <c r="C324" s="7" t="s">
        <v>358</v>
      </c>
      <c r="D324" s="7"/>
      <c r="E324" s="6" t="s">
        <v>357</v>
      </c>
      <c r="F324" s="9">
        <f>F325</f>
        <v>507.3</v>
      </c>
      <c r="G324" s="9"/>
      <c r="H324" s="9">
        <f>H325</f>
        <v>507.3</v>
      </c>
      <c r="I324" s="9">
        <f>I325</f>
        <v>0</v>
      </c>
      <c r="J324" s="380"/>
      <c r="K324" s="9">
        <f>K325</f>
        <v>0</v>
      </c>
      <c r="L324" s="9">
        <f>L325</f>
        <v>0</v>
      </c>
      <c r="M324" s="9"/>
      <c r="N324" s="9">
        <f>N325</f>
        <v>0</v>
      </c>
    </row>
    <row r="325" spans="1:14" x14ac:dyDescent="0.3">
      <c r="A325" s="7"/>
      <c r="B325" s="7"/>
      <c r="C325" s="7"/>
      <c r="D325" s="7" t="s">
        <v>12</v>
      </c>
      <c r="E325" s="6" t="s">
        <v>11</v>
      </c>
      <c r="F325" s="9">
        <v>507.3</v>
      </c>
      <c r="G325" s="9"/>
      <c r="H325" s="9">
        <v>507.3</v>
      </c>
      <c r="I325" s="9">
        <v>0</v>
      </c>
      <c r="J325" s="380"/>
      <c r="K325" s="9">
        <v>0</v>
      </c>
      <c r="L325" s="9">
        <v>0</v>
      </c>
      <c r="M325" s="9"/>
      <c r="N325" s="9">
        <v>0</v>
      </c>
    </row>
    <row r="326" spans="1:14" ht="39.6" x14ac:dyDescent="0.3">
      <c r="A326" s="7"/>
      <c r="B326" s="7"/>
      <c r="C326" s="7" t="s">
        <v>356</v>
      </c>
      <c r="D326" s="7"/>
      <c r="E326" s="10" t="s">
        <v>355</v>
      </c>
      <c r="F326" s="5">
        <f>F327</f>
        <v>8521.7293100000006</v>
      </c>
      <c r="G326" s="5">
        <f>G327</f>
        <v>-8521.7293100000006</v>
      </c>
      <c r="H326" s="5">
        <f>H327</f>
        <v>0</v>
      </c>
      <c r="I326" s="5">
        <f>I327</f>
        <v>0</v>
      </c>
      <c r="J326" s="382"/>
      <c r="K326" s="5">
        <f>K327</f>
        <v>0</v>
      </c>
      <c r="L326" s="9">
        <v>0</v>
      </c>
      <c r="M326" s="9"/>
      <c r="N326" s="9">
        <v>0</v>
      </c>
    </row>
    <row r="327" spans="1:14" x14ac:dyDescent="0.3">
      <c r="A327" s="7"/>
      <c r="B327" s="7"/>
      <c r="C327" s="55"/>
      <c r="D327" s="7" t="s">
        <v>12</v>
      </c>
      <c r="E327" s="6" t="s">
        <v>11</v>
      </c>
      <c r="F327" s="5">
        <f>F328+F329</f>
        <v>8521.7293100000006</v>
      </c>
      <c r="G327" s="5">
        <f>G328+G329</f>
        <v>-8521.7293100000006</v>
      </c>
      <c r="H327" s="5">
        <f>H328+H329</f>
        <v>0</v>
      </c>
      <c r="I327" s="5">
        <f>SUM(I328:I329)</f>
        <v>0</v>
      </c>
      <c r="J327" s="382"/>
      <c r="K327" s="5">
        <f>SUM(K328:K329)</f>
        <v>0</v>
      </c>
      <c r="L327" s="9">
        <v>0</v>
      </c>
      <c r="M327" s="9"/>
      <c r="N327" s="9">
        <v>0</v>
      </c>
    </row>
    <row r="328" spans="1:14" x14ac:dyDescent="0.3">
      <c r="A328" s="7"/>
      <c r="B328" s="7"/>
      <c r="C328" s="55"/>
      <c r="D328" s="7"/>
      <c r="E328" s="6" t="s">
        <v>165</v>
      </c>
      <c r="F328" s="5">
        <v>6391.2969800000001</v>
      </c>
      <c r="G328" s="5">
        <v>-6391.2969800000001</v>
      </c>
      <c r="H328" s="5">
        <v>0</v>
      </c>
      <c r="I328" s="5">
        <v>0</v>
      </c>
      <c r="J328" s="382"/>
      <c r="K328" s="5">
        <v>0</v>
      </c>
      <c r="L328" s="9">
        <v>0</v>
      </c>
      <c r="M328" s="9"/>
      <c r="N328" s="9">
        <v>0</v>
      </c>
    </row>
    <row r="329" spans="1:14" x14ac:dyDescent="0.3">
      <c r="A329" s="7"/>
      <c r="B329" s="7"/>
      <c r="C329" s="55"/>
      <c r="D329" s="7"/>
      <c r="E329" s="103" t="s">
        <v>164</v>
      </c>
      <c r="F329" s="5">
        <v>2130.4323300000001</v>
      </c>
      <c r="G329" s="5">
        <v>-2130.4323300000001</v>
      </c>
      <c r="H329" s="5">
        <v>0</v>
      </c>
      <c r="I329" s="5">
        <v>0</v>
      </c>
      <c r="J329" s="382"/>
      <c r="K329" s="5">
        <v>0</v>
      </c>
      <c r="L329" s="9">
        <v>0</v>
      </c>
      <c r="M329" s="9"/>
      <c r="N329" s="9">
        <v>0</v>
      </c>
    </row>
    <row r="330" spans="1:14" ht="40.200000000000003" x14ac:dyDescent="0.3">
      <c r="A330" s="7"/>
      <c r="B330" s="7"/>
      <c r="C330" s="75" t="s">
        <v>354</v>
      </c>
      <c r="D330" s="75"/>
      <c r="E330" s="6" t="s">
        <v>856</v>
      </c>
      <c r="F330" s="5">
        <f>F331</f>
        <v>160.5</v>
      </c>
      <c r="G330" s="5"/>
      <c r="H330" s="5">
        <f>H331</f>
        <v>160.5</v>
      </c>
      <c r="I330" s="5">
        <v>0</v>
      </c>
      <c r="J330" s="382"/>
      <c r="K330" s="5">
        <v>0</v>
      </c>
      <c r="L330" s="9">
        <v>0</v>
      </c>
      <c r="M330" s="9"/>
      <c r="N330" s="9">
        <v>0</v>
      </c>
    </row>
    <row r="331" spans="1:14" x14ac:dyDescent="0.3">
      <c r="A331" s="7"/>
      <c r="B331" s="7"/>
      <c r="C331" s="75"/>
      <c r="D331" s="75" t="s">
        <v>12</v>
      </c>
      <c r="E331" s="12" t="s">
        <v>11</v>
      </c>
      <c r="F331" s="5">
        <v>160.5</v>
      </c>
      <c r="G331" s="5"/>
      <c r="H331" s="5">
        <v>160.5</v>
      </c>
      <c r="I331" s="5">
        <v>0</v>
      </c>
      <c r="J331" s="382"/>
      <c r="K331" s="5">
        <v>0</v>
      </c>
      <c r="L331" s="9">
        <v>0</v>
      </c>
      <c r="M331" s="9"/>
      <c r="N331" s="9">
        <v>0</v>
      </c>
    </row>
    <row r="332" spans="1:14" x14ac:dyDescent="0.3">
      <c r="A332" s="7"/>
      <c r="B332" s="7"/>
      <c r="C332" s="7" t="s">
        <v>747</v>
      </c>
      <c r="D332" s="55"/>
      <c r="E332" s="10" t="s">
        <v>353</v>
      </c>
      <c r="F332" s="9">
        <f>F333</f>
        <v>685.6</v>
      </c>
      <c r="G332" s="9"/>
      <c r="H332" s="9">
        <f>H333</f>
        <v>685.6</v>
      </c>
      <c r="I332" s="9">
        <f>I333</f>
        <v>0</v>
      </c>
      <c r="J332" s="380"/>
      <c r="K332" s="9">
        <f>K333</f>
        <v>0</v>
      </c>
      <c r="L332" s="9">
        <f>L333</f>
        <v>0</v>
      </c>
      <c r="M332" s="9"/>
      <c r="N332" s="9">
        <f>N333</f>
        <v>0</v>
      </c>
    </row>
    <row r="333" spans="1:14" x14ac:dyDescent="0.3">
      <c r="A333" s="7"/>
      <c r="B333" s="7"/>
      <c r="C333" s="7"/>
      <c r="D333" s="7" t="s">
        <v>12</v>
      </c>
      <c r="E333" s="6" t="s">
        <v>11</v>
      </c>
      <c r="F333" s="9">
        <v>685.6</v>
      </c>
      <c r="G333" s="9"/>
      <c r="H333" s="9">
        <v>685.6</v>
      </c>
      <c r="I333" s="9">
        <v>0</v>
      </c>
      <c r="J333" s="380"/>
      <c r="K333" s="9">
        <v>0</v>
      </c>
      <c r="L333" s="9">
        <v>0</v>
      </c>
      <c r="M333" s="9"/>
      <c r="N333" s="9">
        <v>0</v>
      </c>
    </row>
    <row r="334" spans="1:14" x14ac:dyDescent="0.3">
      <c r="A334" s="7"/>
      <c r="B334" s="7"/>
      <c r="C334" s="7" t="s">
        <v>748</v>
      </c>
      <c r="D334" s="99"/>
      <c r="E334" s="103" t="s">
        <v>352</v>
      </c>
      <c r="F334" s="9">
        <f>F335</f>
        <v>9723.5</v>
      </c>
      <c r="G334" s="9"/>
      <c r="H334" s="9">
        <f>H335</f>
        <v>9723.5</v>
      </c>
      <c r="I334" s="9">
        <f>I335</f>
        <v>0</v>
      </c>
      <c r="J334" s="380"/>
      <c r="K334" s="9">
        <f>K335</f>
        <v>0</v>
      </c>
      <c r="L334" s="9">
        <v>0</v>
      </c>
      <c r="M334" s="9"/>
      <c r="N334" s="9">
        <v>0</v>
      </c>
    </row>
    <row r="335" spans="1:14" x14ac:dyDescent="0.3">
      <c r="A335" s="7"/>
      <c r="B335" s="7"/>
      <c r="C335" s="7"/>
      <c r="D335" s="7" t="s">
        <v>12</v>
      </c>
      <c r="E335" s="6" t="s">
        <v>11</v>
      </c>
      <c r="F335" s="9">
        <f>8219+1504.5</f>
        <v>9723.5</v>
      </c>
      <c r="G335" s="9"/>
      <c r="H335" s="9">
        <f>8219+1504.5</f>
        <v>9723.5</v>
      </c>
      <c r="I335" s="9">
        <v>0</v>
      </c>
      <c r="J335" s="380"/>
      <c r="K335" s="9">
        <v>0</v>
      </c>
      <c r="L335" s="9">
        <v>0</v>
      </c>
      <c r="M335" s="9"/>
      <c r="N335" s="9">
        <v>0</v>
      </c>
    </row>
    <row r="336" spans="1:14" x14ac:dyDescent="0.3">
      <c r="A336" s="7"/>
      <c r="B336" s="7"/>
      <c r="C336" s="7" t="s">
        <v>749</v>
      </c>
      <c r="D336" s="7"/>
      <c r="E336" s="6" t="s">
        <v>753</v>
      </c>
      <c r="F336" s="9">
        <f>F337</f>
        <v>2099.1999999999998</v>
      </c>
      <c r="G336" s="9"/>
      <c r="H336" s="9">
        <f>H337</f>
        <v>2099.1999999999998</v>
      </c>
      <c r="I336" s="9">
        <v>0</v>
      </c>
      <c r="J336" s="380"/>
      <c r="K336" s="9">
        <v>0</v>
      </c>
      <c r="L336" s="9">
        <v>0</v>
      </c>
      <c r="M336" s="9"/>
      <c r="N336" s="9">
        <v>0</v>
      </c>
    </row>
    <row r="337" spans="1:14" x14ac:dyDescent="0.3">
      <c r="A337" s="7"/>
      <c r="B337" s="7"/>
      <c r="C337" s="7"/>
      <c r="D337" s="7" t="s">
        <v>12</v>
      </c>
      <c r="E337" s="6" t="s">
        <v>11</v>
      </c>
      <c r="F337" s="9">
        <v>2099.1999999999998</v>
      </c>
      <c r="G337" s="9"/>
      <c r="H337" s="9">
        <v>2099.1999999999998</v>
      </c>
      <c r="I337" s="9">
        <v>0</v>
      </c>
      <c r="J337" s="380"/>
      <c r="K337" s="9">
        <v>0</v>
      </c>
      <c r="L337" s="9">
        <v>0</v>
      </c>
      <c r="M337" s="9"/>
      <c r="N337" s="9">
        <v>0</v>
      </c>
    </row>
    <row r="338" spans="1:14" x14ac:dyDescent="0.3">
      <c r="A338" s="223"/>
      <c r="B338" s="223"/>
      <c r="C338" s="369" t="s">
        <v>905</v>
      </c>
      <c r="D338" s="369"/>
      <c r="E338" s="409" t="s">
        <v>874</v>
      </c>
      <c r="F338" s="225">
        <f>F339</f>
        <v>0</v>
      </c>
      <c r="G338" s="225">
        <f>G339</f>
        <v>8521.7293100000006</v>
      </c>
      <c r="H338" s="225">
        <f t="shared" ref="H338:N339" si="46">H339</f>
        <v>8521.7293100000006</v>
      </c>
      <c r="I338" s="225">
        <f t="shared" si="46"/>
        <v>0</v>
      </c>
      <c r="J338" s="225"/>
      <c r="K338" s="225">
        <f t="shared" si="46"/>
        <v>0</v>
      </c>
      <c r="L338" s="225">
        <f t="shared" si="46"/>
        <v>0</v>
      </c>
      <c r="M338" s="225"/>
      <c r="N338" s="225">
        <f t="shared" si="46"/>
        <v>0</v>
      </c>
    </row>
    <row r="339" spans="1:14" ht="39.6" x14ac:dyDescent="0.3">
      <c r="A339" s="362"/>
      <c r="B339" s="362"/>
      <c r="C339" s="362" t="s">
        <v>906</v>
      </c>
      <c r="D339" s="362"/>
      <c r="E339" s="410" t="s">
        <v>355</v>
      </c>
      <c r="F339" s="5">
        <f>F340</f>
        <v>0</v>
      </c>
      <c r="G339" s="5">
        <f>G340</f>
        <v>8521.7293100000006</v>
      </c>
      <c r="H339" s="5">
        <f t="shared" si="46"/>
        <v>8521.7293100000006</v>
      </c>
      <c r="I339" s="5">
        <f t="shared" si="46"/>
        <v>0</v>
      </c>
      <c r="J339" s="5"/>
      <c r="K339" s="5">
        <f t="shared" si="46"/>
        <v>0</v>
      </c>
      <c r="L339" s="5">
        <f t="shared" si="46"/>
        <v>0</v>
      </c>
      <c r="M339" s="5"/>
      <c r="N339" s="5">
        <f t="shared" si="46"/>
        <v>0</v>
      </c>
    </row>
    <row r="340" spans="1:14" x14ac:dyDescent="0.3">
      <c r="A340" s="362"/>
      <c r="B340" s="362"/>
      <c r="C340" s="366"/>
      <c r="D340" s="362" t="s">
        <v>12</v>
      </c>
      <c r="E340" s="365" t="s">
        <v>11</v>
      </c>
      <c r="F340" s="380">
        <v>0</v>
      </c>
      <c r="G340" s="5">
        <f>G341+G342</f>
        <v>8521.7293100000006</v>
      </c>
      <c r="H340" s="5">
        <f>H341+H342</f>
        <v>8521.7293100000006</v>
      </c>
      <c r="I340" s="380">
        <v>0</v>
      </c>
      <c r="J340" s="380"/>
      <c r="K340" s="380">
        <v>0</v>
      </c>
      <c r="L340" s="380">
        <v>0</v>
      </c>
      <c r="M340" s="380"/>
      <c r="N340" s="380">
        <v>0</v>
      </c>
    </row>
    <row r="341" spans="1:14" x14ac:dyDescent="0.3">
      <c r="A341" s="362"/>
      <c r="B341" s="362"/>
      <c r="C341" s="366"/>
      <c r="D341" s="362"/>
      <c r="E341" s="365" t="s">
        <v>165</v>
      </c>
      <c r="F341" s="380">
        <v>0</v>
      </c>
      <c r="G341" s="5">
        <v>6391.2969800000001</v>
      </c>
      <c r="H341" s="5">
        <v>6391.2969800000001</v>
      </c>
      <c r="I341" s="380">
        <v>0</v>
      </c>
      <c r="J341" s="380"/>
      <c r="K341" s="380">
        <v>0</v>
      </c>
      <c r="L341" s="380">
        <v>0</v>
      </c>
      <c r="M341" s="380"/>
      <c r="N341" s="380">
        <v>0</v>
      </c>
    </row>
    <row r="342" spans="1:14" x14ac:dyDescent="0.3">
      <c r="A342" s="362"/>
      <c r="B342" s="362"/>
      <c r="C342" s="366"/>
      <c r="D342" s="362"/>
      <c r="E342" s="417" t="s">
        <v>164</v>
      </c>
      <c r="F342" s="380">
        <v>0</v>
      </c>
      <c r="G342" s="5">
        <v>2130.4323300000001</v>
      </c>
      <c r="H342" s="5">
        <v>2130.4323300000001</v>
      </c>
      <c r="I342" s="380">
        <v>0</v>
      </c>
      <c r="J342" s="380"/>
      <c r="K342" s="380">
        <v>0</v>
      </c>
      <c r="L342" s="380">
        <v>0</v>
      </c>
      <c r="M342" s="380"/>
      <c r="N342" s="380">
        <v>0</v>
      </c>
    </row>
    <row r="343" spans="1:14" x14ac:dyDescent="0.3">
      <c r="A343" s="313"/>
      <c r="B343" s="313"/>
      <c r="C343" s="314" t="s">
        <v>18</v>
      </c>
      <c r="D343" s="314"/>
      <c r="E343" s="315" t="s">
        <v>17</v>
      </c>
      <c r="F343" s="302">
        <f>F344</f>
        <v>3003.8</v>
      </c>
      <c r="G343" s="302">
        <f>G344</f>
        <v>2334.9</v>
      </c>
      <c r="H343" s="302">
        <f>H344</f>
        <v>5338.7000000000007</v>
      </c>
      <c r="I343" s="302">
        <f>I344</f>
        <v>0</v>
      </c>
      <c r="J343" s="396"/>
      <c r="K343" s="302">
        <f>K344</f>
        <v>0</v>
      </c>
      <c r="L343" s="302">
        <f>L344</f>
        <v>0</v>
      </c>
      <c r="M343" s="302"/>
      <c r="N343" s="302">
        <f>N344</f>
        <v>0</v>
      </c>
    </row>
    <row r="344" spans="1:14" ht="27" x14ac:dyDescent="0.3">
      <c r="A344" s="316"/>
      <c r="B344" s="316"/>
      <c r="C344" s="311" t="s">
        <v>16</v>
      </c>
      <c r="D344" s="311"/>
      <c r="E344" s="312" t="s">
        <v>15</v>
      </c>
      <c r="F344" s="301">
        <f>F345+F347</f>
        <v>3003.8</v>
      </c>
      <c r="G344" s="301">
        <f>G345+G347</f>
        <v>2334.9</v>
      </c>
      <c r="H344" s="301">
        <f>H345+H347</f>
        <v>5338.7000000000007</v>
      </c>
      <c r="I344" s="301">
        <f>I345+I347</f>
        <v>0</v>
      </c>
      <c r="J344" s="391"/>
      <c r="K344" s="301">
        <f>K345+K347</f>
        <v>0</v>
      </c>
      <c r="L344" s="301">
        <f>L345+L347</f>
        <v>0</v>
      </c>
      <c r="M344" s="301"/>
      <c r="N344" s="301">
        <f>N345+N347</f>
        <v>0</v>
      </c>
    </row>
    <row r="345" spans="1:14" x14ac:dyDescent="0.3">
      <c r="A345" s="294"/>
      <c r="B345" s="294"/>
      <c r="C345" s="308" t="s">
        <v>850</v>
      </c>
      <c r="D345" s="296"/>
      <c r="E345" s="309" t="s">
        <v>851</v>
      </c>
      <c r="F345" s="299">
        <f>F346</f>
        <v>2733.8</v>
      </c>
      <c r="G345" s="299">
        <f>G346</f>
        <v>2064.9</v>
      </c>
      <c r="H345" s="299">
        <f>H346</f>
        <v>4798.7000000000007</v>
      </c>
      <c r="I345" s="299">
        <v>0</v>
      </c>
      <c r="J345" s="380"/>
      <c r="K345" s="299">
        <v>0</v>
      </c>
      <c r="L345" s="299">
        <v>0</v>
      </c>
      <c r="M345" s="299"/>
      <c r="N345" s="299">
        <v>0</v>
      </c>
    </row>
    <row r="346" spans="1:14" ht="26.4" x14ac:dyDescent="0.3">
      <c r="A346" s="294"/>
      <c r="B346" s="294"/>
      <c r="C346" s="310"/>
      <c r="D346" s="294" t="s">
        <v>57</v>
      </c>
      <c r="E346" s="297" t="s">
        <v>56</v>
      </c>
      <c r="F346" s="299">
        <v>2733.8</v>
      </c>
      <c r="G346" s="299">
        <f>3384-1319.1</f>
        <v>2064.9</v>
      </c>
      <c r="H346" s="299">
        <f>2733.8+G346</f>
        <v>4798.7000000000007</v>
      </c>
      <c r="I346" s="299">
        <v>0</v>
      </c>
      <c r="J346" s="380"/>
      <c r="K346" s="299">
        <v>0</v>
      </c>
      <c r="L346" s="299">
        <v>0</v>
      </c>
      <c r="M346" s="299"/>
      <c r="N346" s="299">
        <v>0</v>
      </c>
    </row>
    <row r="347" spans="1:14" x14ac:dyDescent="0.3">
      <c r="A347" s="294"/>
      <c r="B347" s="294"/>
      <c r="C347" s="308" t="s">
        <v>857</v>
      </c>
      <c r="D347" s="324"/>
      <c r="E347" s="332" t="s">
        <v>854</v>
      </c>
      <c r="F347" s="299">
        <f>F348</f>
        <v>270</v>
      </c>
      <c r="G347" s="299">
        <f>G348</f>
        <v>270</v>
      </c>
      <c r="H347" s="299">
        <f>H348</f>
        <v>540</v>
      </c>
      <c r="I347" s="299">
        <v>0</v>
      </c>
      <c r="J347" s="380"/>
      <c r="K347" s="299">
        <v>0</v>
      </c>
      <c r="L347" s="299">
        <v>0</v>
      </c>
      <c r="M347" s="299"/>
      <c r="N347" s="299">
        <v>0</v>
      </c>
    </row>
    <row r="348" spans="1:14" ht="26.4" x14ac:dyDescent="0.3">
      <c r="A348" s="294"/>
      <c r="B348" s="294"/>
      <c r="C348" s="310"/>
      <c r="D348" s="294" t="s">
        <v>57</v>
      </c>
      <c r="E348" s="297" t="s">
        <v>56</v>
      </c>
      <c r="F348" s="299">
        <v>270</v>
      </c>
      <c r="G348" s="299">
        <v>270</v>
      </c>
      <c r="H348" s="299">
        <f>270+270</f>
        <v>540</v>
      </c>
      <c r="I348" s="299">
        <v>0</v>
      </c>
      <c r="J348" s="380"/>
      <c r="K348" s="299">
        <v>0</v>
      </c>
      <c r="L348" s="299">
        <v>0</v>
      </c>
      <c r="M348" s="299"/>
      <c r="N348" s="299">
        <v>0</v>
      </c>
    </row>
    <row r="349" spans="1:14" x14ac:dyDescent="0.3">
      <c r="A349" s="8"/>
      <c r="B349" s="23" t="s">
        <v>351</v>
      </c>
      <c r="C349" s="22"/>
      <c r="D349" s="21"/>
      <c r="E349" s="20" t="s">
        <v>350</v>
      </c>
      <c r="F349" s="19">
        <f t="shared" ref="F349:L349" si="47">F350</f>
        <v>45319.971319999997</v>
      </c>
      <c r="G349" s="19">
        <f t="shared" si="47"/>
        <v>50.899999999999864</v>
      </c>
      <c r="H349" s="19">
        <f t="shared" si="47"/>
        <v>45370.871319999998</v>
      </c>
      <c r="I349" s="19">
        <f t="shared" si="47"/>
        <v>33190.087120000004</v>
      </c>
      <c r="J349" s="19">
        <f t="shared" si="47"/>
        <v>0</v>
      </c>
      <c r="K349" s="19">
        <f t="shared" si="47"/>
        <v>33190.087119999997</v>
      </c>
      <c r="L349" s="19">
        <f t="shared" si="47"/>
        <v>31646.060170000004</v>
      </c>
      <c r="M349" s="19"/>
      <c r="N349" s="19">
        <f>N350</f>
        <v>31646.060170000004</v>
      </c>
    </row>
    <row r="350" spans="1:14" x14ac:dyDescent="0.3">
      <c r="A350" s="8"/>
      <c r="B350" s="23"/>
      <c r="C350" s="22" t="s">
        <v>36</v>
      </c>
      <c r="D350" s="23"/>
      <c r="E350" s="28" t="s">
        <v>35</v>
      </c>
      <c r="F350" s="19">
        <f t="shared" ref="F350:L350" si="48">F351+F404</f>
        <v>45319.971319999997</v>
      </c>
      <c r="G350" s="19">
        <f t="shared" si="48"/>
        <v>50.899999999999864</v>
      </c>
      <c r="H350" s="19">
        <f t="shared" si="48"/>
        <v>45370.871319999998</v>
      </c>
      <c r="I350" s="19">
        <f t="shared" si="48"/>
        <v>33190.087120000004</v>
      </c>
      <c r="J350" s="19">
        <f t="shared" si="48"/>
        <v>0</v>
      </c>
      <c r="K350" s="19">
        <f t="shared" si="48"/>
        <v>33190.087119999997</v>
      </c>
      <c r="L350" s="19">
        <f t="shared" si="48"/>
        <v>31646.060170000004</v>
      </c>
      <c r="M350" s="19"/>
      <c r="N350" s="19">
        <f>N351+N404</f>
        <v>31646.060170000004</v>
      </c>
    </row>
    <row r="351" spans="1:14" ht="26.4" x14ac:dyDescent="0.3">
      <c r="A351" s="54"/>
      <c r="B351" s="34"/>
      <c r="C351" s="35" t="s">
        <v>313</v>
      </c>
      <c r="D351" s="34"/>
      <c r="E351" s="33" t="s">
        <v>312</v>
      </c>
      <c r="F351" s="32">
        <f t="shared" ref="F351:L351" si="49">F352+F358</f>
        <v>36589.29249</v>
      </c>
      <c r="G351" s="32">
        <f t="shared" si="49"/>
        <v>50.899999999999864</v>
      </c>
      <c r="H351" s="32">
        <f t="shared" si="49"/>
        <v>36640.192490000001</v>
      </c>
      <c r="I351" s="32">
        <f t="shared" si="49"/>
        <v>24710.378630000003</v>
      </c>
      <c r="J351" s="32">
        <f t="shared" si="49"/>
        <v>0</v>
      </c>
      <c r="K351" s="32">
        <f t="shared" si="49"/>
        <v>24710.378629999999</v>
      </c>
      <c r="L351" s="32">
        <f t="shared" si="49"/>
        <v>23412.100000000002</v>
      </c>
      <c r="M351" s="32"/>
      <c r="N351" s="32">
        <f>N352+N358</f>
        <v>23412.100000000002</v>
      </c>
    </row>
    <row r="352" spans="1:14" x14ac:dyDescent="0.3">
      <c r="A352" s="31"/>
      <c r="B352" s="31"/>
      <c r="C352" s="31" t="s">
        <v>349</v>
      </c>
      <c r="D352" s="31"/>
      <c r="E352" s="83" t="s">
        <v>348</v>
      </c>
      <c r="F352" s="29">
        <f>F353</f>
        <v>4009.4000000000005</v>
      </c>
      <c r="G352" s="29"/>
      <c r="H352" s="29">
        <f>H353</f>
        <v>4009.4000000000005</v>
      </c>
      <c r="I352" s="29">
        <f>I353</f>
        <v>0</v>
      </c>
      <c r="J352" s="378"/>
      <c r="K352" s="29">
        <f>K353</f>
        <v>0</v>
      </c>
      <c r="L352" s="29">
        <f>L353</f>
        <v>0</v>
      </c>
      <c r="M352" s="29"/>
      <c r="N352" s="29">
        <f>N353</f>
        <v>0</v>
      </c>
    </row>
    <row r="353" spans="1:14" ht="27" x14ac:dyDescent="0.3">
      <c r="A353" s="75"/>
      <c r="B353" s="75"/>
      <c r="C353" s="75" t="s">
        <v>347</v>
      </c>
      <c r="D353" s="7"/>
      <c r="E353" s="6" t="s">
        <v>346</v>
      </c>
      <c r="F353" s="9">
        <f>F355+F356+F357</f>
        <v>4009.4000000000005</v>
      </c>
      <c r="G353" s="9"/>
      <c r="H353" s="9">
        <f>H355+H356+H357</f>
        <v>4009.4000000000005</v>
      </c>
      <c r="I353" s="9">
        <f>I355+I356+I357</f>
        <v>0</v>
      </c>
      <c r="J353" s="380"/>
      <c r="K353" s="9">
        <f>K355+K356+K357</f>
        <v>0</v>
      </c>
      <c r="L353" s="9">
        <f>L355+L356+L357</f>
        <v>0</v>
      </c>
      <c r="M353" s="9"/>
      <c r="N353" s="9">
        <f>N355+N356+N357</f>
        <v>0</v>
      </c>
    </row>
    <row r="354" spans="1:14" x14ac:dyDescent="0.3">
      <c r="A354" s="75"/>
      <c r="B354" s="75"/>
      <c r="C354" s="75"/>
      <c r="D354" s="75" t="s">
        <v>12</v>
      </c>
      <c r="E354" s="12" t="s">
        <v>11</v>
      </c>
      <c r="F354" s="9">
        <f>F355+F356+F357</f>
        <v>4009.4000000000005</v>
      </c>
      <c r="G354" s="9"/>
      <c r="H354" s="9">
        <f>H355+H356+H357</f>
        <v>4009.4000000000005</v>
      </c>
      <c r="I354" s="9">
        <f>I355+I356+I357</f>
        <v>0</v>
      </c>
      <c r="J354" s="380"/>
      <c r="K354" s="9">
        <f>K355+K356+K357</f>
        <v>0</v>
      </c>
      <c r="L354" s="9">
        <f>L355+L356+L357</f>
        <v>0</v>
      </c>
      <c r="M354" s="9"/>
      <c r="N354" s="9">
        <f>N355+N356+N357</f>
        <v>0</v>
      </c>
    </row>
    <row r="355" spans="1:14" x14ac:dyDescent="0.3">
      <c r="A355" s="75"/>
      <c r="B355" s="75"/>
      <c r="C355" s="75"/>
      <c r="D355" s="7"/>
      <c r="E355" s="102" t="s">
        <v>345</v>
      </c>
      <c r="F355" s="281">
        <v>2666.3</v>
      </c>
      <c r="G355" s="281"/>
      <c r="H355" s="281">
        <v>2666.3</v>
      </c>
      <c r="I355" s="281">
        <v>0</v>
      </c>
      <c r="J355" s="389"/>
      <c r="K355" s="281">
        <v>0</v>
      </c>
      <c r="L355" s="281">
        <v>0</v>
      </c>
      <c r="M355" s="281"/>
      <c r="N355" s="281">
        <v>0</v>
      </c>
    </row>
    <row r="356" spans="1:14" x14ac:dyDescent="0.3">
      <c r="A356" s="75"/>
      <c r="B356" s="75"/>
      <c r="C356" s="75"/>
      <c r="D356" s="7"/>
      <c r="E356" s="102" t="s">
        <v>339</v>
      </c>
      <c r="F356" s="281">
        <v>140.30000000000001</v>
      </c>
      <c r="G356" s="281"/>
      <c r="H356" s="281">
        <v>140.30000000000001</v>
      </c>
      <c r="I356" s="281">
        <v>0</v>
      </c>
      <c r="J356" s="389"/>
      <c r="K356" s="281">
        <v>0</v>
      </c>
      <c r="L356" s="281">
        <v>0</v>
      </c>
      <c r="M356" s="281"/>
      <c r="N356" s="281">
        <v>0</v>
      </c>
    </row>
    <row r="357" spans="1:14" x14ac:dyDescent="0.3">
      <c r="A357" s="75"/>
      <c r="B357" s="75"/>
      <c r="C357" s="75"/>
      <c r="D357" s="7"/>
      <c r="E357" s="102" t="s">
        <v>332</v>
      </c>
      <c r="F357" s="9">
        <v>1202.8</v>
      </c>
      <c r="G357" s="9"/>
      <c r="H357" s="9">
        <v>1202.8</v>
      </c>
      <c r="I357" s="281">
        <v>0</v>
      </c>
      <c r="J357" s="389"/>
      <c r="K357" s="281">
        <v>0</v>
      </c>
      <c r="L357" s="9">
        <v>0</v>
      </c>
      <c r="M357" s="9"/>
      <c r="N357" s="9">
        <v>0</v>
      </c>
    </row>
    <row r="358" spans="1:14" ht="27" x14ac:dyDescent="0.3">
      <c r="A358" s="31"/>
      <c r="B358" s="31"/>
      <c r="C358" s="31" t="s">
        <v>311</v>
      </c>
      <c r="D358" s="31"/>
      <c r="E358" s="83" t="s">
        <v>310</v>
      </c>
      <c r="F358" s="29">
        <f>F359+F387+F401</f>
        <v>32579.892490000002</v>
      </c>
      <c r="G358" s="29">
        <f>G359+G387+G401+G379</f>
        <v>50.899999999999864</v>
      </c>
      <c r="H358" s="29">
        <f>H359+H387+H401+H379</f>
        <v>32630.792490000003</v>
      </c>
      <c r="I358" s="29">
        <f>I359+I387+I401</f>
        <v>24710.378630000003</v>
      </c>
      <c r="J358" s="29">
        <f>J359+J387+J401+J379</f>
        <v>0</v>
      </c>
      <c r="K358" s="29">
        <f>K359+K387+K401+K379</f>
        <v>24710.378629999999</v>
      </c>
      <c r="L358" s="29">
        <f>L359+L387+L401</f>
        <v>23412.100000000002</v>
      </c>
      <c r="M358" s="29"/>
      <c r="N358" s="29">
        <f>N359+N387+N401</f>
        <v>23412.100000000002</v>
      </c>
    </row>
    <row r="359" spans="1:14" ht="27" x14ac:dyDescent="0.3">
      <c r="A359" s="223"/>
      <c r="B359" s="223"/>
      <c r="C359" s="223" t="s">
        <v>344</v>
      </c>
      <c r="D359" s="223"/>
      <c r="E359" s="236" t="s">
        <v>343</v>
      </c>
      <c r="F359" s="225">
        <f>F364+F366+F360+F370+F372+F375</f>
        <v>7640.068040000001</v>
      </c>
      <c r="G359" s="225">
        <f>G364+G366+G360+G370+G372+G375+G368</f>
        <v>-509.86666000000002</v>
      </c>
      <c r="H359" s="225">
        <f>H364+H366+H360+H370+H372+H375+H368</f>
        <v>7130.2013800000004</v>
      </c>
      <c r="I359" s="225">
        <f>I364+I366+I360+I370+I372+I375</f>
        <v>352.5</v>
      </c>
      <c r="J359" s="379"/>
      <c r="K359" s="225">
        <f>K364+K366+K360+K370+K372+K375</f>
        <v>352.5</v>
      </c>
      <c r="L359" s="225">
        <f>L364+L366+L360+L370+L372+L375</f>
        <v>558.4</v>
      </c>
      <c r="M359" s="225"/>
      <c r="N359" s="225">
        <f>N364+N366+N360+N370+N372+N375</f>
        <v>558.4</v>
      </c>
    </row>
    <row r="360" spans="1:14" s="24" customFormat="1" x14ac:dyDescent="0.3">
      <c r="A360" s="61"/>
      <c r="B360" s="61"/>
      <c r="C360" s="75" t="s">
        <v>342</v>
      </c>
      <c r="D360" s="7"/>
      <c r="E360" s="103" t="s">
        <v>341</v>
      </c>
      <c r="F360" s="9">
        <f>F361</f>
        <v>860.32722000000012</v>
      </c>
      <c r="G360" s="9"/>
      <c r="H360" s="9">
        <f>H361</f>
        <v>860.32722000000012</v>
      </c>
      <c r="I360" s="9">
        <v>0</v>
      </c>
      <c r="J360" s="380"/>
      <c r="K360" s="9">
        <v>0</v>
      </c>
      <c r="L360" s="9">
        <v>0</v>
      </c>
      <c r="M360" s="9"/>
      <c r="N360" s="9">
        <v>0</v>
      </c>
    </row>
    <row r="361" spans="1:14" s="24" customFormat="1" x14ac:dyDescent="0.3">
      <c r="A361" s="61"/>
      <c r="B361" s="61"/>
      <c r="C361" s="7"/>
      <c r="D361" s="7" t="s">
        <v>12</v>
      </c>
      <c r="E361" s="6" t="s">
        <v>11</v>
      </c>
      <c r="F361" s="9">
        <f>F362+F363</f>
        <v>860.32722000000012</v>
      </c>
      <c r="G361" s="9"/>
      <c r="H361" s="9">
        <f>H362+H363</f>
        <v>860.32722000000012</v>
      </c>
      <c r="I361" s="9">
        <v>0</v>
      </c>
      <c r="J361" s="380"/>
      <c r="K361" s="9">
        <v>0</v>
      </c>
      <c r="L361" s="9">
        <v>0</v>
      </c>
      <c r="M361" s="9"/>
      <c r="N361" s="9">
        <v>0</v>
      </c>
    </row>
    <row r="362" spans="1:14" s="24" customFormat="1" x14ac:dyDescent="0.3">
      <c r="A362" s="61"/>
      <c r="B362" s="61"/>
      <c r="C362" s="7"/>
      <c r="D362" s="7"/>
      <c r="E362" s="102" t="s">
        <v>332</v>
      </c>
      <c r="F362" s="9">
        <v>567.31086000000005</v>
      </c>
      <c r="G362" s="9"/>
      <c r="H362" s="9">
        <v>567.31086000000005</v>
      </c>
      <c r="I362" s="9">
        <v>0</v>
      </c>
      <c r="J362" s="380"/>
      <c r="K362" s="9">
        <v>0</v>
      </c>
      <c r="L362" s="9">
        <v>0</v>
      </c>
      <c r="M362" s="9"/>
      <c r="N362" s="9">
        <v>0</v>
      </c>
    </row>
    <row r="363" spans="1:14" s="24" customFormat="1" x14ac:dyDescent="0.3">
      <c r="A363" s="61"/>
      <c r="B363" s="61"/>
      <c r="C363" s="7"/>
      <c r="D363" s="7"/>
      <c r="E363" s="102" t="s">
        <v>340</v>
      </c>
      <c r="F363" s="9">
        <v>293.01636000000002</v>
      </c>
      <c r="G363" s="9"/>
      <c r="H363" s="9">
        <v>293.01636000000002</v>
      </c>
      <c r="I363" s="9">
        <v>0</v>
      </c>
      <c r="J363" s="380"/>
      <c r="K363" s="9">
        <v>0</v>
      </c>
      <c r="L363" s="9">
        <v>0</v>
      </c>
      <c r="M363" s="9"/>
      <c r="N363" s="9">
        <v>0</v>
      </c>
    </row>
    <row r="364" spans="1:14" ht="26.4" x14ac:dyDescent="0.3">
      <c r="A364" s="55"/>
      <c r="B364" s="55"/>
      <c r="C364" s="55" t="s">
        <v>338</v>
      </c>
      <c r="D364" s="55"/>
      <c r="E364" s="10" t="s">
        <v>337</v>
      </c>
      <c r="F364" s="5">
        <f>F365</f>
        <v>2392.8000000000002</v>
      </c>
      <c r="G364" s="5">
        <f>G365</f>
        <v>-840.76666</v>
      </c>
      <c r="H364" s="5">
        <f>H365</f>
        <v>1552.0333400000002</v>
      </c>
      <c r="I364" s="5">
        <f>I365</f>
        <v>0</v>
      </c>
      <c r="J364" s="382"/>
      <c r="K364" s="5">
        <f>K365</f>
        <v>0</v>
      </c>
      <c r="L364" s="5">
        <f>L365</f>
        <v>0</v>
      </c>
      <c r="M364" s="5"/>
      <c r="N364" s="5">
        <f>N365</f>
        <v>0</v>
      </c>
    </row>
    <row r="365" spans="1:14" x14ac:dyDescent="0.3">
      <c r="A365" s="55"/>
      <c r="B365" s="55"/>
      <c r="C365" s="55"/>
      <c r="D365" s="7" t="s">
        <v>12</v>
      </c>
      <c r="E365" s="6" t="s">
        <v>11</v>
      </c>
      <c r="F365" s="5">
        <v>2392.8000000000002</v>
      </c>
      <c r="G365" s="5">
        <v>-840.76666</v>
      </c>
      <c r="H365" s="5">
        <f>SUM(F365:G365)</f>
        <v>1552.0333400000002</v>
      </c>
      <c r="I365" s="5">
        <v>0</v>
      </c>
      <c r="J365" s="382"/>
      <c r="K365" s="5">
        <v>0</v>
      </c>
      <c r="L365" s="5">
        <v>0</v>
      </c>
      <c r="M365" s="5"/>
      <c r="N365" s="5">
        <v>0</v>
      </c>
    </row>
    <row r="366" spans="1:14" ht="26.4" x14ac:dyDescent="0.3">
      <c r="A366" s="55"/>
      <c r="B366" s="55"/>
      <c r="C366" s="55" t="s">
        <v>336</v>
      </c>
      <c r="D366" s="55"/>
      <c r="E366" s="10" t="s">
        <v>335</v>
      </c>
      <c r="F366" s="5">
        <f>F367</f>
        <v>2598.9</v>
      </c>
      <c r="G366" s="5"/>
      <c r="H366" s="5">
        <f>H367</f>
        <v>2598.9</v>
      </c>
      <c r="I366" s="5">
        <f>I367</f>
        <v>0</v>
      </c>
      <c r="J366" s="382"/>
      <c r="K366" s="5">
        <f>K367</f>
        <v>0</v>
      </c>
      <c r="L366" s="5">
        <f>L367</f>
        <v>0</v>
      </c>
      <c r="M366" s="5"/>
      <c r="N366" s="5">
        <f>N367</f>
        <v>0</v>
      </c>
    </row>
    <row r="367" spans="1:14" x14ac:dyDescent="0.3">
      <c r="A367" s="55"/>
      <c r="B367" s="55"/>
      <c r="C367" s="55"/>
      <c r="D367" s="7" t="s">
        <v>12</v>
      </c>
      <c r="E367" s="6" t="s">
        <v>11</v>
      </c>
      <c r="F367" s="5">
        <v>2598.9</v>
      </c>
      <c r="G367" s="5"/>
      <c r="H367" s="5">
        <v>2598.9</v>
      </c>
      <c r="I367" s="5">
        <v>0</v>
      </c>
      <c r="J367" s="382"/>
      <c r="K367" s="5">
        <v>0</v>
      </c>
      <c r="L367" s="5">
        <v>0</v>
      </c>
      <c r="M367" s="5"/>
      <c r="N367" s="5">
        <v>0</v>
      </c>
    </row>
    <row r="368" spans="1:14" x14ac:dyDescent="0.3">
      <c r="A368" s="366"/>
      <c r="B368" s="366"/>
      <c r="C368" s="55" t="s">
        <v>878</v>
      </c>
      <c r="D368" s="362"/>
      <c r="E368" s="367" t="s">
        <v>877</v>
      </c>
      <c r="F368" s="382"/>
      <c r="G368" s="382">
        <v>330.9</v>
      </c>
      <c r="H368" s="382">
        <v>330.9</v>
      </c>
      <c r="I368" s="382"/>
      <c r="J368" s="382"/>
      <c r="K368" s="382"/>
      <c r="L368" s="382"/>
      <c r="M368" s="382"/>
      <c r="N368" s="382"/>
    </row>
    <row r="369" spans="1:14" ht="27" x14ac:dyDescent="0.3">
      <c r="A369" s="366"/>
      <c r="B369" s="366"/>
      <c r="C369" s="55"/>
      <c r="D369" s="7" t="s">
        <v>57</v>
      </c>
      <c r="E369" s="6" t="s">
        <v>56</v>
      </c>
      <c r="F369" s="382"/>
      <c r="G369" s="382">
        <v>330.9</v>
      </c>
      <c r="H369" s="382">
        <v>330.9</v>
      </c>
      <c r="I369" s="382"/>
      <c r="J369" s="382"/>
      <c r="K369" s="382"/>
      <c r="L369" s="382"/>
      <c r="M369" s="382"/>
      <c r="N369" s="382"/>
    </row>
    <row r="370" spans="1:14" ht="27.75" customHeight="1" x14ac:dyDescent="0.3">
      <c r="A370" s="55"/>
      <c r="B370" s="55"/>
      <c r="C370" s="55" t="s">
        <v>744</v>
      </c>
      <c r="D370" s="7"/>
      <c r="E370" s="102" t="s">
        <v>606</v>
      </c>
      <c r="F370" s="5">
        <f>F371</f>
        <v>391.8</v>
      </c>
      <c r="G370" s="5"/>
      <c r="H370" s="5">
        <f>H371</f>
        <v>391.8</v>
      </c>
      <c r="I370" s="9">
        <v>0</v>
      </c>
      <c r="J370" s="380"/>
      <c r="K370" s="9">
        <v>0</v>
      </c>
      <c r="L370" s="9">
        <v>0</v>
      </c>
      <c r="M370" s="9"/>
      <c r="N370" s="9">
        <v>0</v>
      </c>
    </row>
    <row r="371" spans="1:14" x14ac:dyDescent="0.3">
      <c r="A371" s="55"/>
      <c r="B371" s="55"/>
      <c r="C371" s="55"/>
      <c r="D371" s="7" t="s">
        <v>12</v>
      </c>
      <c r="E371" s="6" t="s">
        <v>11</v>
      </c>
      <c r="F371" s="5">
        <v>391.8</v>
      </c>
      <c r="G371" s="5"/>
      <c r="H371" s="5">
        <v>391.8</v>
      </c>
      <c r="I371" s="9">
        <v>0</v>
      </c>
      <c r="J371" s="380"/>
      <c r="K371" s="9">
        <v>0</v>
      </c>
      <c r="L371" s="9">
        <v>0</v>
      </c>
      <c r="M371" s="9"/>
      <c r="N371" s="9">
        <v>0</v>
      </c>
    </row>
    <row r="372" spans="1:14" x14ac:dyDescent="0.3">
      <c r="A372" s="55"/>
      <c r="B372" s="55"/>
      <c r="C372" s="7" t="s">
        <v>334</v>
      </c>
      <c r="D372" s="7"/>
      <c r="E372" s="6" t="s">
        <v>333</v>
      </c>
      <c r="F372" s="5">
        <f>F373</f>
        <v>627.34082000000001</v>
      </c>
      <c r="G372" s="5"/>
      <c r="H372" s="5">
        <f>H373</f>
        <v>627.34082000000001</v>
      </c>
      <c r="I372" s="9">
        <v>0</v>
      </c>
      <c r="J372" s="380"/>
      <c r="K372" s="9">
        <v>0</v>
      </c>
      <c r="L372" s="9">
        <v>0</v>
      </c>
      <c r="M372" s="9"/>
      <c r="N372" s="9">
        <v>0</v>
      </c>
    </row>
    <row r="373" spans="1:14" x14ac:dyDescent="0.3">
      <c r="A373" s="55"/>
      <c r="B373" s="55"/>
      <c r="C373" s="55"/>
      <c r="D373" s="7" t="s">
        <v>12</v>
      </c>
      <c r="E373" s="6" t="s">
        <v>11</v>
      </c>
      <c r="F373" s="5">
        <f>F374</f>
        <v>627.34082000000001</v>
      </c>
      <c r="G373" s="5"/>
      <c r="H373" s="5">
        <f>H374</f>
        <v>627.34082000000001</v>
      </c>
      <c r="I373" s="9">
        <v>0</v>
      </c>
      <c r="J373" s="380"/>
      <c r="K373" s="9">
        <v>0</v>
      </c>
      <c r="L373" s="9">
        <v>0</v>
      </c>
      <c r="M373" s="9"/>
      <c r="N373" s="9">
        <v>0</v>
      </c>
    </row>
    <row r="374" spans="1:14" x14ac:dyDescent="0.3">
      <c r="A374" s="55"/>
      <c r="B374" s="55"/>
      <c r="C374" s="55"/>
      <c r="D374" s="7"/>
      <c r="E374" s="102" t="s">
        <v>332</v>
      </c>
      <c r="F374" s="5">
        <v>627.34082000000001</v>
      </c>
      <c r="G374" s="5"/>
      <c r="H374" s="5">
        <v>627.34082000000001</v>
      </c>
      <c r="I374" s="9">
        <v>0</v>
      </c>
      <c r="J374" s="380"/>
      <c r="K374" s="9">
        <v>0</v>
      </c>
      <c r="L374" s="9">
        <v>0</v>
      </c>
      <c r="M374" s="9"/>
      <c r="N374" s="9">
        <v>0</v>
      </c>
    </row>
    <row r="375" spans="1:14" ht="27" x14ac:dyDescent="0.3">
      <c r="A375" s="55"/>
      <c r="B375" s="55"/>
      <c r="C375" s="55" t="s">
        <v>607</v>
      </c>
      <c r="D375" s="7"/>
      <c r="E375" s="6" t="s">
        <v>608</v>
      </c>
      <c r="F375" s="282">
        <f>F376+F377+F378</f>
        <v>768.9</v>
      </c>
      <c r="G375" s="282"/>
      <c r="H375" s="282">
        <f>H376+H377+H378</f>
        <v>768.9</v>
      </c>
      <c r="I375" s="282">
        <f>I376+I377+I378</f>
        <v>352.5</v>
      </c>
      <c r="J375" s="392"/>
      <c r="K375" s="282">
        <f>K376+K377+K378</f>
        <v>352.5</v>
      </c>
      <c r="L375" s="282">
        <f>L376+L377+L378</f>
        <v>558.4</v>
      </c>
      <c r="M375" s="282"/>
      <c r="N375" s="282">
        <f>N376+N377+N378</f>
        <v>558.4</v>
      </c>
    </row>
    <row r="376" spans="1:14" x14ac:dyDescent="0.3">
      <c r="A376" s="55"/>
      <c r="B376" s="55"/>
      <c r="C376" s="55"/>
      <c r="D376" s="7" t="s">
        <v>12</v>
      </c>
      <c r="E376" s="6" t="s">
        <v>11</v>
      </c>
      <c r="F376" s="282">
        <v>504.9</v>
      </c>
      <c r="G376" s="282"/>
      <c r="H376" s="282">
        <v>504.9</v>
      </c>
      <c r="I376" s="282">
        <v>0</v>
      </c>
      <c r="J376" s="392"/>
      <c r="K376" s="282">
        <v>0</v>
      </c>
      <c r="L376" s="287">
        <v>0</v>
      </c>
      <c r="M376" s="287"/>
      <c r="N376" s="287">
        <v>0</v>
      </c>
    </row>
    <row r="377" spans="1:14" ht="26.4" x14ac:dyDescent="0.3">
      <c r="A377" s="55"/>
      <c r="B377" s="55"/>
      <c r="C377" s="55"/>
      <c r="D377" s="7" t="s">
        <v>57</v>
      </c>
      <c r="E377" s="10" t="s">
        <v>56</v>
      </c>
      <c r="F377" s="282">
        <v>264</v>
      </c>
      <c r="G377" s="282"/>
      <c r="H377" s="282">
        <v>264</v>
      </c>
      <c r="I377" s="282">
        <v>352.5</v>
      </c>
      <c r="J377" s="392"/>
      <c r="K377" s="282">
        <v>352.5</v>
      </c>
      <c r="L377" s="287">
        <v>558.4</v>
      </c>
      <c r="M377" s="287"/>
      <c r="N377" s="287">
        <v>558.4</v>
      </c>
    </row>
    <row r="378" spans="1:14" x14ac:dyDescent="0.3">
      <c r="A378" s="55"/>
      <c r="B378" s="55"/>
      <c r="C378" s="55"/>
      <c r="D378" s="7" t="s">
        <v>22</v>
      </c>
      <c r="E378" s="6" t="s">
        <v>21</v>
      </c>
      <c r="F378" s="282">
        <v>0</v>
      </c>
      <c r="G378" s="282"/>
      <c r="H378" s="282">
        <f>163.1-163.1</f>
        <v>0</v>
      </c>
      <c r="I378" s="282">
        <v>0</v>
      </c>
      <c r="J378" s="392"/>
      <c r="K378" s="282">
        <v>0</v>
      </c>
      <c r="L378" s="287">
        <v>0</v>
      </c>
      <c r="M378" s="287"/>
      <c r="N378" s="287">
        <v>0</v>
      </c>
    </row>
    <row r="379" spans="1:14" x14ac:dyDescent="0.3">
      <c r="A379" s="223"/>
      <c r="B379" s="223"/>
      <c r="C379" s="223" t="s">
        <v>879</v>
      </c>
      <c r="D379" s="231"/>
      <c r="E379" s="236" t="s">
        <v>874</v>
      </c>
      <c r="F379" s="237">
        <f>F380+F384</f>
        <v>0</v>
      </c>
      <c r="G379" s="237">
        <f>G380+G384</f>
        <v>1839.48361</v>
      </c>
      <c r="H379" s="237">
        <f t="shared" ref="H379:N379" si="50">H380+H384</f>
        <v>1839.48361</v>
      </c>
      <c r="I379" s="237">
        <f t="shared" si="50"/>
        <v>0</v>
      </c>
      <c r="J379" s="237">
        <f t="shared" si="50"/>
        <v>715.17863</v>
      </c>
      <c r="K379" s="237">
        <f t="shared" si="50"/>
        <v>715.17863</v>
      </c>
      <c r="L379" s="237">
        <f t="shared" si="50"/>
        <v>0</v>
      </c>
      <c r="M379" s="237"/>
      <c r="N379" s="237">
        <f t="shared" si="50"/>
        <v>0</v>
      </c>
    </row>
    <row r="380" spans="1:14" ht="27" x14ac:dyDescent="0.3">
      <c r="A380" s="366"/>
      <c r="B380" s="366"/>
      <c r="C380" s="7" t="s">
        <v>880</v>
      </c>
      <c r="D380" s="7"/>
      <c r="E380" s="6" t="s">
        <v>622</v>
      </c>
      <c r="F380" s="281">
        <f>F381</f>
        <v>0</v>
      </c>
      <c r="G380" s="281">
        <f>G381</f>
        <v>1198.71695</v>
      </c>
      <c r="H380" s="281">
        <f t="shared" ref="H380:N380" si="51">H381</f>
        <v>1198.71695</v>
      </c>
      <c r="I380" s="281">
        <f t="shared" si="51"/>
        <v>0</v>
      </c>
      <c r="J380" s="281">
        <f t="shared" si="51"/>
        <v>715.17863</v>
      </c>
      <c r="K380" s="281">
        <f t="shared" si="51"/>
        <v>715.17863</v>
      </c>
      <c r="L380" s="281">
        <f t="shared" si="51"/>
        <v>0</v>
      </c>
      <c r="M380" s="281"/>
      <c r="N380" s="281">
        <f t="shared" si="51"/>
        <v>0</v>
      </c>
    </row>
    <row r="381" spans="1:14" x14ac:dyDescent="0.3">
      <c r="A381" s="366"/>
      <c r="B381" s="366"/>
      <c r="C381" s="7"/>
      <c r="D381" s="7" t="s">
        <v>12</v>
      </c>
      <c r="E381" s="6" t="s">
        <v>11</v>
      </c>
      <c r="F381" s="281">
        <v>0</v>
      </c>
      <c r="G381" s="281">
        <f>G383+G382</f>
        <v>1198.71695</v>
      </c>
      <c r="H381" s="281">
        <f>H383+H382</f>
        <v>1198.71695</v>
      </c>
      <c r="I381" s="392">
        <v>0</v>
      </c>
      <c r="J381" s="283">
        <f>J383+J382</f>
        <v>715.17863</v>
      </c>
      <c r="K381" s="283">
        <f>K383+K382</f>
        <v>715.17863</v>
      </c>
      <c r="L381" s="404">
        <v>0</v>
      </c>
      <c r="M381" s="404"/>
      <c r="N381" s="404">
        <v>0</v>
      </c>
    </row>
    <row r="382" spans="1:14" x14ac:dyDescent="0.3">
      <c r="A382" s="366"/>
      <c r="B382" s="366"/>
      <c r="C382" s="7"/>
      <c r="D382" s="7"/>
      <c r="E382" s="6" t="s">
        <v>733</v>
      </c>
      <c r="F382" s="281">
        <v>0</v>
      </c>
      <c r="G382" s="281">
        <v>840.91519000000005</v>
      </c>
      <c r="H382" s="281">
        <v>840.91519000000005</v>
      </c>
      <c r="I382" s="392">
        <v>0</v>
      </c>
      <c r="J382" s="283">
        <v>643.66075999999998</v>
      </c>
      <c r="K382" s="283">
        <v>643.66075999999998</v>
      </c>
      <c r="L382" s="404">
        <v>0</v>
      </c>
      <c r="M382" s="404"/>
      <c r="N382" s="404">
        <v>0</v>
      </c>
    </row>
    <row r="383" spans="1:14" x14ac:dyDescent="0.3">
      <c r="A383" s="366"/>
      <c r="B383" s="366"/>
      <c r="C383" s="87"/>
      <c r="D383" s="7"/>
      <c r="E383" s="6" t="s">
        <v>77</v>
      </c>
      <c r="F383" s="281">
        <v>0</v>
      </c>
      <c r="G383" s="281">
        <v>357.80176</v>
      </c>
      <c r="H383" s="281">
        <v>357.80176</v>
      </c>
      <c r="I383" s="392">
        <v>0</v>
      </c>
      <c r="J383" s="283">
        <v>71.517870000000002</v>
      </c>
      <c r="K383" s="283">
        <v>71.517870000000002</v>
      </c>
      <c r="L383" s="404">
        <v>0</v>
      </c>
      <c r="M383" s="404"/>
      <c r="N383" s="404">
        <v>0</v>
      </c>
    </row>
    <row r="384" spans="1:14" x14ac:dyDescent="0.3">
      <c r="A384" s="366"/>
      <c r="B384" s="366"/>
      <c r="C384" s="7" t="s">
        <v>881</v>
      </c>
      <c r="D384" s="362"/>
      <c r="E384" s="365" t="s">
        <v>882</v>
      </c>
      <c r="F384" s="389">
        <f>F385</f>
        <v>0</v>
      </c>
      <c r="G384" s="389">
        <f>G385</f>
        <v>640.76666</v>
      </c>
      <c r="H384" s="389">
        <f t="shared" ref="H384:N384" si="52">H385</f>
        <v>640.76666</v>
      </c>
      <c r="I384" s="389">
        <f t="shared" si="52"/>
        <v>0</v>
      </c>
      <c r="J384" s="389">
        <f t="shared" si="52"/>
        <v>0</v>
      </c>
      <c r="K384" s="389">
        <f t="shared" si="52"/>
        <v>0</v>
      </c>
      <c r="L384" s="389">
        <f t="shared" si="52"/>
        <v>0</v>
      </c>
      <c r="M384" s="389"/>
      <c r="N384" s="389">
        <f t="shared" si="52"/>
        <v>0</v>
      </c>
    </row>
    <row r="385" spans="1:14" x14ac:dyDescent="0.3">
      <c r="A385" s="366"/>
      <c r="B385" s="366"/>
      <c r="C385" s="368"/>
      <c r="D385" s="7" t="s">
        <v>12</v>
      </c>
      <c r="E385" s="6" t="s">
        <v>11</v>
      </c>
      <c r="F385" s="389">
        <v>0</v>
      </c>
      <c r="G385" s="389">
        <f>G386</f>
        <v>640.76666</v>
      </c>
      <c r="H385" s="389">
        <f>H386</f>
        <v>640.76666</v>
      </c>
      <c r="I385" s="392">
        <v>0</v>
      </c>
      <c r="J385" s="392">
        <v>0</v>
      </c>
      <c r="K385" s="392">
        <v>0</v>
      </c>
      <c r="L385" s="404">
        <v>0</v>
      </c>
      <c r="M385" s="404"/>
      <c r="N385" s="404">
        <v>0</v>
      </c>
    </row>
    <row r="386" spans="1:14" x14ac:dyDescent="0.3">
      <c r="A386" s="366"/>
      <c r="B386" s="366"/>
      <c r="C386" s="368"/>
      <c r="D386" s="362"/>
      <c r="E386" s="6" t="s">
        <v>77</v>
      </c>
      <c r="F386" s="389">
        <v>0</v>
      </c>
      <c r="G386" s="389">
        <v>640.76666</v>
      </c>
      <c r="H386" s="389">
        <v>640.76666</v>
      </c>
      <c r="I386" s="392">
        <v>0</v>
      </c>
      <c r="J386" s="392">
        <v>0</v>
      </c>
      <c r="K386" s="392">
        <v>0</v>
      </c>
      <c r="L386" s="404">
        <v>0</v>
      </c>
      <c r="M386" s="404"/>
      <c r="N386" s="404">
        <v>0</v>
      </c>
    </row>
    <row r="387" spans="1:14" x14ac:dyDescent="0.3">
      <c r="A387" s="223"/>
      <c r="B387" s="223"/>
      <c r="C387" s="223" t="s">
        <v>309</v>
      </c>
      <c r="D387" s="231"/>
      <c r="E387" s="236" t="s">
        <v>308</v>
      </c>
      <c r="F387" s="225">
        <f t="shared" ref="F387:L387" si="53">F388+F390+F392+F394+F398</f>
        <v>2676.4244500000004</v>
      </c>
      <c r="G387" s="225">
        <f t="shared" si="53"/>
        <v>-1278.71695</v>
      </c>
      <c r="H387" s="225">
        <f t="shared" si="53"/>
        <v>1397.7075</v>
      </c>
      <c r="I387" s="225">
        <f t="shared" si="53"/>
        <v>2094.4786300000001</v>
      </c>
      <c r="J387" s="225">
        <f t="shared" si="53"/>
        <v>-715.17863</v>
      </c>
      <c r="K387" s="225">
        <f t="shared" si="53"/>
        <v>1379.3</v>
      </c>
      <c r="L387" s="225">
        <f t="shared" si="53"/>
        <v>590.29999999999995</v>
      </c>
      <c r="M387" s="225"/>
      <c r="N387" s="225">
        <f>N388+N390+N392+N394+N398</f>
        <v>590.29999999999995</v>
      </c>
    </row>
    <row r="388" spans="1:14" x14ac:dyDescent="0.3">
      <c r="A388" s="8"/>
      <c r="B388" s="8"/>
      <c r="C388" s="7" t="s">
        <v>331</v>
      </c>
      <c r="D388" s="84"/>
      <c r="E388" s="12" t="s">
        <v>330</v>
      </c>
      <c r="F388" s="5">
        <f>F389</f>
        <v>0</v>
      </c>
      <c r="G388" s="5"/>
      <c r="H388" s="5">
        <f>H389</f>
        <v>0</v>
      </c>
      <c r="I388" s="5">
        <f>I389</f>
        <v>627.29999999999995</v>
      </c>
      <c r="J388" s="382"/>
      <c r="K388" s="5">
        <f>K389</f>
        <v>627.29999999999995</v>
      </c>
      <c r="L388" s="5">
        <f>L389</f>
        <v>195.9</v>
      </c>
      <c r="M388" s="5"/>
      <c r="N388" s="5">
        <f>N389</f>
        <v>195.9</v>
      </c>
    </row>
    <row r="389" spans="1:14" x14ac:dyDescent="0.3">
      <c r="A389" s="8"/>
      <c r="B389" s="8"/>
      <c r="C389" s="61"/>
      <c r="D389" s="7" t="s">
        <v>12</v>
      </c>
      <c r="E389" s="6" t="s">
        <v>11</v>
      </c>
      <c r="F389" s="5">
        <v>0</v>
      </c>
      <c r="G389" s="5"/>
      <c r="H389" s="5">
        <v>0</v>
      </c>
      <c r="I389" s="5">
        <v>627.29999999999995</v>
      </c>
      <c r="J389" s="382"/>
      <c r="K389" s="5">
        <v>627.29999999999995</v>
      </c>
      <c r="L389" s="5">
        <v>195.9</v>
      </c>
      <c r="M389" s="5"/>
      <c r="N389" s="5">
        <v>195.9</v>
      </c>
    </row>
    <row r="390" spans="1:14" x14ac:dyDescent="0.3">
      <c r="A390" s="8"/>
      <c r="B390" s="8"/>
      <c r="C390" s="7" t="s">
        <v>329</v>
      </c>
      <c r="D390" s="75"/>
      <c r="E390" s="12" t="s">
        <v>328</v>
      </c>
      <c r="F390" s="5">
        <f>F391</f>
        <v>671.9</v>
      </c>
      <c r="G390" s="5">
        <f>G391</f>
        <v>-80</v>
      </c>
      <c r="H390" s="5">
        <f>H391</f>
        <v>591.9</v>
      </c>
      <c r="I390" s="5">
        <f>I391</f>
        <v>357.6</v>
      </c>
      <c r="J390" s="382"/>
      <c r="K390" s="5">
        <f>K391</f>
        <v>357.6</v>
      </c>
      <c r="L390" s="5">
        <v>0</v>
      </c>
      <c r="M390" s="5"/>
      <c r="N390" s="5">
        <v>0</v>
      </c>
    </row>
    <row r="391" spans="1:14" x14ac:dyDescent="0.3">
      <c r="A391" s="8"/>
      <c r="B391" s="8"/>
      <c r="C391" s="87"/>
      <c r="D391" s="7" t="s">
        <v>12</v>
      </c>
      <c r="E391" s="6" t="s">
        <v>11</v>
      </c>
      <c r="F391" s="5">
        <v>671.9</v>
      </c>
      <c r="G391" s="5">
        <v>-80</v>
      </c>
      <c r="H391" s="5">
        <f>SUM(F391:G391)</f>
        <v>591.9</v>
      </c>
      <c r="I391" s="5">
        <v>357.6</v>
      </c>
      <c r="J391" s="382"/>
      <c r="K391" s="5">
        <v>357.6</v>
      </c>
      <c r="L391" s="5">
        <v>0</v>
      </c>
      <c r="M391" s="5"/>
      <c r="N391" s="5">
        <v>0</v>
      </c>
    </row>
    <row r="392" spans="1:14" x14ac:dyDescent="0.3">
      <c r="A392" s="8"/>
      <c r="B392" s="8"/>
      <c r="C392" s="7" t="s">
        <v>745</v>
      </c>
      <c r="D392" s="7"/>
      <c r="E392" s="6" t="s">
        <v>609</v>
      </c>
      <c r="F392" s="5">
        <f>F393</f>
        <v>394.4</v>
      </c>
      <c r="G392" s="5"/>
      <c r="H392" s="5">
        <f>H393</f>
        <v>394.4</v>
      </c>
      <c r="I392" s="5">
        <f>I393</f>
        <v>394.4</v>
      </c>
      <c r="J392" s="382"/>
      <c r="K392" s="5">
        <f>K393</f>
        <v>394.4</v>
      </c>
      <c r="L392" s="5">
        <f>L393</f>
        <v>394.4</v>
      </c>
      <c r="M392" s="5"/>
      <c r="N392" s="5">
        <f>N393</f>
        <v>394.4</v>
      </c>
    </row>
    <row r="393" spans="1:14" ht="26.4" x14ac:dyDescent="0.3">
      <c r="A393" s="8"/>
      <c r="B393" s="8"/>
      <c r="C393" s="101"/>
      <c r="D393" s="7" t="s">
        <v>57</v>
      </c>
      <c r="E393" s="10" t="s">
        <v>56</v>
      </c>
      <c r="F393" s="5">
        <v>394.4</v>
      </c>
      <c r="G393" s="5"/>
      <c r="H393" s="5">
        <v>394.4</v>
      </c>
      <c r="I393" s="5">
        <v>394.4</v>
      </c>
      <c r="J393" s="382"/>
      <c r="K393" s="5">
        <v>394.4</v>
      </c>
      <c r="L393" s="5">
        <v>394.4</v>
      </c>
      <c r="M393" s="5"/>
      <c r="N393" s="5">
        <v>394.4</v>
      </c>
    </row>
    <row r="394" spans="1:14" ht="27" x14ac:dyDescent="0.3">
      <c r="A394" s="55"/>
      <c r="B394" s="55"/>
      <c r="C394" s="7" t="s">
        <v>621</v>
      </c>
      <c r="D394" s="7"/>
      <c r="E394" s="6" t="s">
        <v>622</v>
      </c>
      <c r="F394" s="283">
        <f t="shared" ref="F394:K394" si="54">F395</f>
        <v>1198.71695</v>
      </c>
      <c r="G394" s="283">
        <f t="shared" si="54"/>
        <v>-1198.71695</v>
      </c>
      <c r="H394" s="283">
        <f t="shared" si="54"/>
        <v>0</v>
      </c>
      <c r="I394" s="283">
        <f t="shared" si="54"/>
        <v>715.17863</v>
      </c>
      <c r="J394" s="283">
        <f t="shared" si="54"/>
        <v>-715.17863</v>
      </c>
      <c r="K394" s="283">
        <f t="shared" si="54"/>
        <v>0</v>
      </c>
      <c r="L394" s="287">
        <v>0</v>
      </c>
      <c r="M394" s="287"/>
      <c r="N394" s="287">
        <v>0</v>
      </c>
    </row>
    <row r="395" spans="1:14" x14ac:dyDescent="0.3">
      <c r="A395" s="55"/>
      <c r="B395" s="55"/>
      <c r="C395" s="7"/>
      <c r="D395" s="7" t="s">
        <v>12</v>
      </c>
      <c r="E395" s="6" t="s">
        <v>11</v>
      </c>
      <c r="F395" s="283">
        <f t="shared" ref="F395:K395" si="55">F397+F396</f>
        <v>1198.71695</v>
      </c>
      <c r="G395" s="283">
        <f t="shared" si="55"/>
        <v>-1198.71695</v>
      </c>
      <c r="H395" s="283">
        <f t="shared" si="55"/>
        <v>0</v>
      </c>
      <c r="I395" s="283">
        <f t="shared" si="55"/>
        <v>715.17863</v>
      </c>
      <c r="J395" s="283">
        <f t="shared" si="55"/>
        <v>-715.17863</v>
      </c>
      <c r="K395" s="283">
        <f t="shared" si="55"/>
        <v>0</v>
      </c>
      <c r="L395" s="285">
        <v>0</v>
      </c>
      <c r="M395" s="285"/>
      <c r="N395" s="285">
        <v>0</v>
      </c>
    </row>
    <row r="396" spans="1:14" x14ac:dyDescent="0.3">
      <c r="A396" s="55"/>
      <c r="B396" s="55"/>
      <c r="C396" s="7"/>
      <c r="D396" s="7"/>
      <c r="E396" s="6" t="s">
        <v>114</v>
      </c>
      <c r="F396" s="283">
        <v>840.91519000000005</v>
      </c>
      <c r="G396" s="283">
        <v>-840.91519000000005</v>
      </c>
      <c r="H396" s="283">
        <v>0</v>
      </c>
      <c r="I396" s="283">
        <v>643.66075999999998</v>
      </c>
      <c r="J396" s="283">
        <v>-643.66075999999998</v>
      </c>
      <c r="K396" s="283">
        <v>0</v>
      </c>
      <c r="L396" s="285">
        <v>0</v>
      </c>
      <c r="M396" s="285"/>
      <c r="N396" s="285">
        <v>0</v>
      </c>
    </row>
    <row r="397" spans="1:14" x14ac:dyDescent="0.3">
      <c r="A397" s="55"/>
      <c r="B397" s="55"/>
      <c r="C397" s="101"/>
      <c r="D397" s="7"/>
      <c r="E397" s="6" t="s">
        <v>734</v>
      </c>
      <c r="F397" s="283">
        <v>357.80176</v>
      </c>
      <c r="G397" s="283">
        <v>-357.80176</v>
      </c>
      <c r="H397" s="283">
        <v>0</v>
      </c>
      <c r="I397" s="283">
        <v>71.517870000000002</v>
      </c>
      <c r="J397" s="283">
        <v>-71.517870000000002</v>
      </c>
      <c r="K397" s="283">
        <v>0</v>
      </c>
      <c r="L397" s="285">
        <v>0</v>
      </c>
      <c r="M397" s="285"/>
      <c r="N397" s="285">
        <v>0</v>
      </c>
    </row>
    <row r="398" spans="1:14" ht="53.4" x14ac:dyDescent="0.3">
      <c r="A398" s="55"/>
      <c r="B398" s="55"/>
      <c r="C398" s="7" t="s">
        <v>623</v>
      </c>
      <c r="D398" s="7"/>
      <c r="E398" s="6" t="s">
        <v>624</v>
      </c>
      <c r="F398" s="283">
        <f>F399</f>
        <v>411.40750000000003</v>
      </c>
      <c r="G398" s="283"/>
      <c r="H398" s="283">
        <f>H399</f>
        <v>411.40750000000003</v>
      </c>
      <c r="I398" s="9">
        <v>0</v>
      </c>
      <c r="J398" s="380"/>
      <c r="K398" s="9">
        <v>0</v>
      </c>
      <c r="L398" s="9">
        <v>0</v>
      </c>
      <c r="M398" s="9"/>
      <c r="N398" s="9">
        <v>0</v>
      </c>
    </row>
    <row r="399" spans="1:14" x14ac:dyDescent="0.3">
      <c r="A399" s="55"/>
      <c r="B399" s="55"/>
      <c r="C399" s="101"/>
      <c r="D399" s="7" t="s">
        <v>12</v>
      </c>
      <c r="E399" s="6" t="s">
        <v>11</v>
      </c>
      <c r="F399" s="283">
        <f>F400</f>
        <v>411.40750000000003</v>
      </c>
      <c r="G399" s="283"/>
      <c r="H399" s="283">
        <f>H400</f>
        <v>411.40750000000003</v>
      </c>
      <c r="I399" s="9">
        <v>0</v>
      </c>
      <c r="J399" s="380"/>
      <c r="K399" s="9">
        <v>0</v>
      </c>
      <c r="L399" s="9">
        <v>0</v>
      </c>
      <c r="M399" s="9"/>
      <c r="N399" s="9">
        <v>0</v>
      </c>
    </row>
    <row r="400" spans="1:14" x14ac:dyDescent="0.3">
      <c r="A400" s="55"/>
      <c r="B400" s="55"/>
      <c r="C400" s="101"/>
      <c r="D400" s="7"/>
      <c r="E400" s="6" t="s">
        <v>77</v>
      </c>
      <c r="F400" s="283">
        <v>411.40750000000003</v>
      </c>
      <c r="G400" s="283"/>
      <c r="H400" s="283">
        <v>411.40750000000003</v>
      </c>
      <c r="I400" s="9">
        <v>0</v>
      </c>
      <c r="J400" s="380"/>
      <c r="K400" s="9">
        <v>0</v>
      </c>
      <c r="L400" s="9">
        <v>0</v>
      </c>
      <c r="M400" s="9"/>
      <c r="N400" s="9">
        <v>0</v>
      </c>
    </row>
    <row r="401" spans="1:14" x14ac:dyDescent="0.3">
      <c r="A401" s="223"/>
      <c r="B401" s="223"/>
      <c r="C401" s="223" t="s">
        <v>327</v>
      </c>
      <c r="D401" s="223"/>
      <c r="E401" s="236" t="s">
        <v>326</v>
      </c>
      <c r="F401" s="225">
        <f t="shared" ref="F401:N402" si="56">F402</f>
        <v>22263.4</v>
      </c>
      <c r="G401" s="225"/>
      <c r="H401" s="225">
        <f t="shared" si="56"/>
        <v>22263.4</v>
      </c>
      <c r="I401" s="225">
        <f t="shared" si="56"/>
        <v>22263.4</v>
      </c>
      <c r="J401" s="379"/>
      <c r="K401" s="225">
        <f t="shared" si="56"/>
        <v>22263.4</v>
      </c>
      <c r="L401" s="225">
        <f t="shared" si="56"/>
        <v>22263.4</v>
      </c>
      <c r="M401" s="225"/>
      <c r="N401" s="225">
        <f t="shared" si="56"/>
        <v>22263.4</v>
      </c>
    </row>
    <row r="402" spans="1:14" x14ac:dyDescent="0.3">
      <c r="A402" s="8"/>
      <c r="B402" s="8"/>
      <c r="C402" s="7" t="s">
        <v>325</v>
      </c>
      <c r="D402" s="7"/>
      <c r="E402" s="100" t="s">
        <v>324</v>
      </c>
      <c r="F402" s="9">
        <f t="shared" si="56"/>
        <v>22263.4</v>
      </c>
      <c r="G402" s="9"/>
      <c r="H402" s="9">
        <f t="shared" si="56"/>
        <v>22263.4</v>
      </c>
      <c r="I402" s="9">
        <f t="shared" si="56"/>
        <v>22263.4</v>
      </c>
      <c r="J402" s="380"/>
      <c r="K402" s="9">
        <f t="shared" si="56"/>
        <v>22263.4</v>
      </c>
      <c r="L402" s="9">
        <f t="shared" si="56"/>
        <v>22263.4</v>
      </c>
      <c r="M402" s="9"/>
      <c r="N402" s="9">
        <f t="shared" si="56"/>
        <v>22263.4</v>
      </c>
    </row>
    <row r="403" spans="1:14" ht="26.4" x14ac:dyDescent="0.3">
      <c r="A403" s="8"/>
      <c r="B403" s="8"/>
      <c r="C403" s="7"/>
      <c r="D403" s="7" t="s">
        <v>57</v>
      </c>
      <c r="E403" s="10" t="s">
        <v>56</v>
      </c>
      <c r="F403" s="9">
        <v>22263.4</v>
      </c>
      <c r="G403" s="9"/>
      <c r="H403" s="9">
        <v>22263.4</v>
      </c>
      <c r="I403" s="9">
        <v>22263.4</v>
      </c>
      <c r="J403" s="380"/>
      <c r="K403" s="9">
        <v>22263.4</v>
      </c>
      <c r="L403" s="5">
        <v>22263.4</v>
      </c>
      <c r="M403" s="5"/>
      <c r="N403" s="5">
        <v>22263.4</v>
      </c>
    </row>
    <row r="404" spans="1:14" ht="26.4" x14ac:dyDescent="0.3">
      <c r="A404" s="54"/>
      <c r="B404" s="34"/>
      <c r="C404" s="35" t="s">
        <v>323</v>
      </c>
      <c r="D404" s="34"/>
      <c r="E404" s="33" t="s">
        <v>322</v>
      </c>
      <c r="F404" s="32">
        <f>F417+F405</f>
        <v>8730.6788299999989</v>
      </c>
      <c r="G404" s="32">
        <f>G417+G405+G411</f>
        <v>0</v>
      </c>
      <c r="H404" s="32">
        <f>H417+H405+H411</f>
        <v>8730.6788299999989</v>
      </c>
      <c r="I404" s="32">
        <f>I417+I405</f>
        <v>8479.7084899999991</v>
      </c>
      <c r="J404" s="32">
        <f>J417+J405+J411</f>
        <v>0</v>
      </c>
      <c r="K404" s="32">
        <f>K417+K405+K411</f>
        <v>8479.7084899999991</v>
      </c>
      <c r="L404" s="32">
        <f>L417+L405</f>
        <v>8233.9601700000003</v>
      </c>
      <c r="M404" s="32">
        <f>M417+M405+M411</f>
        <v>0</v>
      </c>
      <c r="N404" s="32">
        <f>N417+N405+N411</f>
        <v>8233.9601700000003</v>
      </c>
    </row>
    <row r="405" spans="1:14" ht="27" x14ac:dyDescent="0.3">
      <c r="A405" s="240"/>
      <c r="B405" s="228"/>
      <c r="C405" s="223" t="s">
        <v>814</v>
      </c>
      <c r="D405" s="231"/>
      <c r="E405" s="224" t="s">
        <v>815</v>
      </c>
      <c r="F405" s="237">
        <f>F406</f>
        <v>6415.7461299999995</v>
      </c>
      <c r="G405" s="237">
        <f>G406</f>
        <v>-6415.7461299999995</v>
      </c>
      <c r="H405" s="237">
        <f t="shared" ref="H405:N406" si="57">H406</f>
        <v>0</v>
      </c>
      <c r="I405" s="237">
        <f t="shared" si="57"/>
        <v>6164.7757899999997</v>
      </c>
      <c r="J405" s="237">
        <f t="shared" si="57"/>
        <v>-6164.7757899999997</v>
      </c>
      <c r="K405" s="237">
        <f t="shared" si="57"/>
        <v>0</v>
      </c>
      <c r="L405" s="237">
        <f t="shared" si="57"/>
        <v>5919.0274700000009</v>
      </c>
      <c r="M405" s="237">
        <f t="shared" si="57"/>
        <v>-5919.0274700000009</v>
      </c>
      <c r="N405" s="237">
        <f t="shared" si="57"/>
        <v>0</v>
      </c>
    </row>
    <row r="406" spans="1:14" ht="26.4" x14ac:dyDescent="0.3">
      <c r="A406" s="21"/>
      <c r="B406" s="23"/>
      <c r="C406" s="99" t="s">
        <v>816</v>
      </c>
      <c r="D406" s="55"/>
      <c r="E406" s="10" t="s">
        <v>817</v>
      </c>
      <c r="F406" s="281">
        <f>F407</f>
        <v>6415.7461299999995</v>
      </c>
      <c r="G406" s="281">
        <f>G407</f>
        <v>-6415.7461299999995</v>
      </c>
      <c r="H406" s="281">
        <f t="shared" si="57"/>
        <v>0</v>
      </c>
      <c r="I406" s="281">
        <f t="shared" si="57"/>
        <v>6164.7757899999997</v>
      </c>
      <c r="J406" s="281">
        <f t="shared" si="57"/>
        <v>-6164.7757899999997</v>
      </c>
      <c r="K406" s="281">
        <f t="shared" si="57"/>
        <v>0</v>
      </c>
      <c r="L406" s="281">
        <f t="shared" si="57"/>
        <v>5919.0274700000009</v>
      </c>
      <c r="M406" s="281">
        <f t="shared" si="57"/>
        <v>-5919.0274700000009</v>
      </c>
      <c r="N406" s="281">
        <f t="shared" si="57"/>
        <v>0</v>
      </c>
    </row>
    <row r="407" spans="1:14" x14ac:dyDescent="0.3">
      <c r="A407" s="21"/>
      <c r="B407" s="23"/>
      <c r="C407" s="99"/>
      <c r="D407" s="7" t="s">
        <v>12</v>
      </c>
      <c r="E407" s="6" t="s">
        <v>11</v>
      </c>
      <c r="F407" s="281">
        <f t="shared" ref="F407:M407" si="58">F408+F409+F410</f>
        <v>6415.7461299999995</v>
      </c>
      <c r="G407" s="281">
        <f t="shared" si="58"/>
        <v>-6415.7461299999995</v>
      </c>
      <c r="H407" s="281">
        <f t="shared" si="58"/>
        <v>0</v>
      </c>
      <c r="I407" s="281">
        <f t="shared" si="58"/>
        <v>6164.7757899999997</v>
      </c>
      <c r="J407" s="281">
        <f t="shared" si="58"/>
        <v>-6164.7757899999997</v>
      </c>
      <c r="K407" s="281">
        <f t="shared" si="58"/>
        <v>0</v>
      </c>
      <c r="L407" s="281">
        <f t="shared" si="58"/>
        <v>5919.0274700000009</v>
      </c>
      <c r="M407" s="281">
        <f t="shared" si="58"/>
        <v>-5919.0274700000009</v>
      </c>
      <c r="N407" s="281">
        <f>N408+N409+N410</f>
        <v>0</v>
      </c>
    </row>
    <row r="408" spans="1:14" x14ac:dyDescent="0.3">
      <c r="A408" s="21"/>
      <c r="B408" s="23"/>
      <c r="C408" s="99"/>
      <c r="D408" s="7"/>
      <c r="E408" s="6" t="s">
        <v>115</v>
      </c>
      <c r="F408" s="281">
        <v>5543.2046600000003</v>
      </c>
      <c r="G408" s="281">
        <v>-5543.2046600000003</v>
      </c>
      <c r="H408" s="281">
        <v>0</v>
      </c>
      <c r="I408" s="281">
        <v>5326.3662800000002</v>
      </c>
      <c r="J408" s="281">
        <v>-5326.3662800000002</v>
      </c>
      <c r="K408" s="281">
        <v>0</v>
      </c>
      <c r="L408" s="281">
        <v>5114.0397300000004</v>
      </c>
      <c r="M408" s="281">
        <v>-5114.0397300000004</v>
      </c>
      <c r="N408" s="281">
        <v>0</v>
      </c>
    </row>
    <row r="409" spans="1:14" x14ac:dyDescent="0.3">
      <c r="A409" s="21"/>
      <c r="B409" s="23"/>
      <c r="C409" s="99"/>
      <c r="D409" s="7"/>
      <c r="E409" s="6" t="s">
        <v>114</v>
      </c>
      <c r="F409" s="281">
        <v>230.96686</v>
      </c>
      <c r="G409" s="281">
        <v>-230.96686</v>
      </c>
      <c r="H409" s="281">
        <v>0</v>
      </c>
      <c r="I409" s="281">
        <v>221.93192999999999</v>
      </c>
      <c r="J409" s="281">
        <v>-221.93192999999999</v>
      </c>
      <c r="K409" s="281">
        <v>0</v>
      </c>
      <c r="L409" s="281">
        <v>213.08499</v>
      </c>
      <c r="M409" s="281">
        <v>-213.08499</v>
      </c>
      <c r="N409" s="281">
        <v>0</v>
      </c>
    </row>
    <row r="410" spans="1:14" x14ac:dyDescent="0.3">
      <c r="A410" s="21"/>
      <c r="B410" s="23"/>
      <c r="C410" s="99"/>
      <c r="D410" s="7"/>
      <c r="E410" s="6" t="s">
        <v>106</v>
      </c>
      <c r="F410" s="281">
        <v>641.57461000000001</v>
      </c>
      <c r="G410" s="281">
        <v>-641.57461000000001</v>
      </c>
      <c r="H410" s="281">
        <v>0</v>
      </c>
      <c r="I410" s="281">
        <v>616.47757999999999</v>
      </c>
      <c r="J410" s="281">
        <v>-616.47757999999999</v>
      </c>
      <c r="K410" s="281">
        <v>0</v>
      </c>
      <c r="L410" s="281">
        <v>591.90274999999997</v>
      </c>
      <c r="M410" s="281">
        <v>-591.90274999999997</v>
      </c>
      <c r="N410" s="281">
        <v>0</v>
      </c>
    </row>
    <row r="411" spans="1:14" ht="27" x14ac:dyDescent="0.3">
      <c r="A411" s="240"/>
      <c r="B411" s="228"/>
      <c r="C411" s="369" t="s">
        <v>889</v>
      </c>
      <c r="D411" s="231"/>
      <c r="E411" s="373" t="s">
        <v>891</v>
      </c>
      <c r="F411" s="237"/>
      <c r="G411" s="237">
        <f>G412</f>
        <v>6415.7461299999995</v>
      </c>
      <c r="H411" s="237">
        <f t="shared" ref="H411:N412" si="59">H412</f>
        <v>6415.7461299999995</v>
      </c>
      <c r="I411" s="237"/>
      <c r="J411" s="237">
        <f t="shared" si="59"/>
        <v>6164.7757899999997</v>
      </c>
      <c r="K411" s="237">
        <f t="shared" si="59"/>
        <v>6164.7757899999997</v>
      </c>
      <c r="L411" s="237"/>
      <c r="M411" s="237">
        <f t="shared" si="59"/>
        <v>5919.0274700000009</v>
      </c>
      <c r="N411" s="237">
        <f t="shared" si="59"/>
        <v>5919.0274700000009</v>
      </c>
    </row>
    <row r="412" spans="1:14" ht="27" x14ac:dyDescent="0.3">
      <c r="A412" s="21"/>
      <c r="B412" s="23"/>
      <c r="C412" s="372" t="s">
        <v>890</v>
      </c>
      <c r="D412" s="55"/>
      <c r="E412" s="6" t="s">
        <v>817</v>
      </c>
      <c r="F412" s="281">
        <f>F413</f>
        <v>0</v>
      </c>
      <c r="G412" s="281">
        <f>G413</f>
        <v>6415.7461299999995</v>
      </c>
      <c r="H412" s="281">
        <f t="shared" si="59"/>
        <v>6415.7461299999995</v>
      </c>
      <c r="I412" s="281"/>
      <c r="J412" s="281">
        <f t="shared" si="59"/>
        <v>6164.7757899999997</v>
      </c>
      <c r="K412" s="281">
        <f t="shared" si="59"/>
        <v>6164.7757899999997</v>
      </c>
      <c r="L412" s="281"/>
      <c r="M412" s="281">
        <f t="shared" si="59"/>
        <v>5919.0274700000009</v>
      </c>
      <c r="N412" s="281">
        <f t="shared" si="59"/>
        <v>5919.0274700000009</v>
      </c>
    </row>
    <row r="413" spans="1:14" x14ac:dyDescent="0.3">
      <c r="A413" s="21"/>
      <c r="B413" s="23"/>
      <c r="C413" s="99"/>
      <c r="D413" s="7" t="s">
        <v>12</v>
      </c>
      <c r="E413" s="6" t="s">
        <v>11</v>
      </c>
      <c r="F413" s="281">
        <v>0</v>
      </c>
      <c r="G413" s="281">
        <f>G414+G415+G416</f>
        <v>6415.7461299999995</v>
      </c>
      <c r="H413" s="281">
        <f>H414+H415+H416</f>
        <v>6415.7461299999995</v>
      </c>
      <c r="I413" s="281"/>
      <c r="J413" s="281">
        <f>J414+J415+J416</f>
        <v>6164.7757899999997</v>
      </c>
      <c r="K413" s="281">
        <f>K414+K415+K416</f>
        <v>6164.7757899999997</v>
      </c>
      <c r="L413" s="281"/>
      <c r="M413" s="281">
        <f>M414+M415+M416</f>
        <v>5919.0274700000009</v>
      </c>
      <c r="N413" s="281">
        <f>N414+N415+N416</f>
        <v>5919.0274700000009</v>
      </c>
    </row>
    <row r="414" spans="1:14" x14ac:dyDescent="0.3">
      <c r="A414" s="21"/>
      <c r="B414" s="23"/>
      <c r="C414" s="99"/>
      <c r="D414" s="7"/>
      <c r="E414" s="6" t="s">
        <v>115</v>
      </c>
      <c r="F414" s="281">
        <v>0</v>
      </c>
      <c r="G414" s="281">
        <v>5543.2046600000003</v>
      </c>
      <c r="H414" s="281">
        <v>5543.2046600000003</v>
      </c>
      <c r="I414" s="281"/>
      <c r="J414" s="281">
        <v>5326.3662800000002</v>
      </c>
      <c r="K414" s="281">
        <v>5326.3662800000002</v>
      </c>
      <c r="L414" s="281"/>
      <c r="M414" s="281">
        <v>5114.0397300000004</v>
      </c>
      <c r="N414" s="281">
        <v>5114.0397300000004</v>
      </c>
    </row>
    <row r="415" spans="1:14" x14ac:dyDescent="0.3">
      <c r="A415" s="21"/>
      <c r="B415" s="23"/>
      <c r="C415" s="99"/>
      <c r="D415" s="7"/>
      <c r="E415" s="6" t="s">
        <v>114</v>
      </c>
      <c r="F415" s="281">
        <v>0</v>
      </c>
      <c r="G415" s="281">
        <v>230.96686</v>
      </c>
      <c r="H415" s="281">
        <v>230.96686</v>
      </c>
      <c r="I415" s="281"/>
      <c r="J415" s="281">
        <v>221.93192999999999</v>
      </c>
      <c r="K415" s="281">
        <v>221.93192999999999</v>
      </c>
      <c r="L415" s="281"/>
      <c r="M415" s="281">
        <v>213.08499</v>
      </c>
      <c r="N415" s="281">
        <v>213.08499</v>
      </c>
    </row>
    <row r="416" spans="1:14" x14ac:dyDescent="0.3">
      <c r="A416" s="21"/>
      <c r="B416" s="23"/>
      <c r="C416" s="99"/>
      <c r="D416" s="7"/>
      <c r="E416" s="6" t="s">
        <v>106</v>
      </c>
      <c r="F416" s="281">
        <v>0</v>
      </c>
      <c r="G416" s="281">
        <v>641.57461000000001</v>
      </c>
      <c r="H416" s="281">
        <v>641.57461000000001</v>
      </c>
      <c r="I416" s="281"/>
      <c r="J416" s="281">
        <v>616.47757999999999</v>
      </c>
      <c r="K416" s="281">
        <v>616.47757999999999</v>
      </c>
      <c r="L416" s="281"/>
      <c r="M416" s="281">
        <v>591.90274999999997</v>
      </c>
      <c r="N416" s="281">
        <v>591.90274999999997</v>
      </c>
    </row>
    <row r="417" spans="1:14" ht="27" x14ac:dyDescent="0.3">
      <c r="A417" s="223"/>
      <c r="B417" s="223"/>
      <c r="C417" s="223" t="s">
        <v>321</v>
      </c>
      <c r="D417" s="231"/>
      <c r="E417" s="224" t="s">
        <v>320</v>
      </c>
      <c r="F417" s="225">
        <f>F418</f>
        <v>2314.9326999999998</v>
      </c>
      <c r="G417" s="225"/>
      <c r="H417" s="225">
        <f>H418</f>
        <v>2314.9326999999998</v>
      </c>
      <c r="I417" s="225">
        <f>I418</f>
        <v>2314.9326999999998</v>
      </c>
      <c r="J417" s="379"/>
      <c r="K417" s="225">
        <f>K418</f>
        <v>2314.9326999999998</v>
      </c>
      <c r="L417" s="225">
        <f>L418</f>
        <v>2314.9326999999998</v>
      </c>
      <c r="M417" s="225"/>
      <c r="N417" s="225">
        <f>N418</f>
        <v>2314.9326999999998</v>
      </c>
    </row>
    <row r="418" spans="1:14" ht="26.4" x14ac:dyDescent="0.3">
      <c r="A418" s="8"/>
      <c r="B418" s="8"/>
      <c r="C418" s="99" t="s">
        <v>319</v>
      </c>
      <c r="D418" s="55"/>
      <c r="E418" s="10" t="s">
        <v>318</v>
      </c>
      <c r="F418" s="9">
        <f>F420+F421</f>
        <v>2314.9326999999998</v>
      </c>
      <c r="G418" s="9"/>
      <c r="H418" s="9">
        <f>H420+H421</f>
        <v>2314.9326999999998</v>
      </c>
      <c r="I418" s="9">
        <f>I420+I421</f>
        <v>2314.9326999999998</v>
      </c>
      <c r="J418" s="380"/>
      <c r="K418" s="9">
        <f>K420+K421</f>
        <v>2314.9326999999998</v>
      </c>
      <c r="L418" s="9">
        <f>L420+L421</f>
        <v>2314.9326999999998</v>
      </c>
      <c r="M418" s="9"/>
      <c r="N418" s="9">
        <f>N420+N421</f>
        <v>2314.9326999999998</v>
      </c>
    </row>
    <row r="419" spans="1:14" x14ac:dyDescent="0.3">
      <c r="A419" s="8"/>
      <c r="B419" s="8"/>
      <c r="C419" s="99"/>
      <c r="D419" s="7" t="s">
        <v>12</v>
      </c>
      <c r="E419" s="6" t="s">
        <v>11</v>
      </c>
      <c r="F419" s="9">
        <f>F420+F421</f>
        <v>2314.9326999999998</v>
      </c>
      <c r="G419" s="9"/>
      <c r="H419" s="9">
        <f>H420+H421</f>
        <v>2314.9326999999998</v>
      </c>
      <c r="I419" s="9">
        <f>I420+I421</f>
        <v>2314.9326999999998</v>
      </c>
      <c r="J419" s="380"/>
      <c r="K419" s="9">
        <f>K420+K421</f>
        <v>2314.9326999999998</v>
      </c>
      <c r="L419" s="9">
        <f>L420+L421</f>
        <v>2314.9326999999998</v>
      </c>
      <c r="M419" s="9"/>
      <c r="N419" s="9">
        <f>N420+N421</f>
        <v>2314.9326999999998</v>
      </c>
    </row>
    <row r="420" spans="1:14" x14ac:dyDescent="0.3">
      <c r="A420" s="8"/>
      <c r="B420" s="8"/>
      <c r="C420" s="99"/>
      <c r="D420" s="7"/>
      <c r="E420" s="6" t="s">
        <v>114</v>
      </c>
      <c r="F420" s="281">
        <v>2083.4394299999999</v>
      </c>
      <c r="G420" s="281"/>
      <c r="H420" s="281">
        <v>2083.4394299999999</v>
      </c>
      <c r="I420" s="281">
        <v>2083.4394299999999</v>
      </c>
      <c r="J420" s="389"/>
      <c r="K420" s="281">
        <v>2083.4394299999999</v>
      </c>
      <c r="L420" s="281">
        <v>2083.4394299999999</v>
      </c>
      <c r="M420" s="281"/>
      <c r="N420" s="281">
        <v>2083.4394299999999</v>
      </c>
    </row>
    <row r="421" spans="1:14" x14ac:dyDescent="0.3">
      <c r="A421" s="8"/>
      <c r="B421" s="8"/>
      <c r="C421" s="99"/>
      <c r="D421" s="7"/>
      <c r="E421" s="6" t="s">
        <v>106</v>
      </c>
      <c r="F421" s="281">
        <v>231.49327</v>
      </c>
      <c r="G421" s="281"/>
      <c r="H421" s="281">
        <v>231.49327</v>
      </c>
      <c r="I421" s="281">
        <v>231.49327</v>
      </c>
      <c r="J421" s="389"/>
      <c r="K421" s="281">
        <v>231.49327</v>
      </c>
      <c r="L421" s="281">
        <v>231.49327</v>
      </c>
      <c r="M421" s="281"/>
      <c r="N421" s="281">
        <v>231.49327</v>
      </c>
    </row>
    <row r="422" spans="1:14" x14ac:dyDescent="0.3">
      <c r="A422" s="8"/>
      <c r="B422" s="23" t="s">
        <v>317</v>
      </c>
      <c r="C422" s="22"/>
      <c r="D422" s="21"/>
      <c r="E422" s="20" t="s">
        <v>316</v>
      </c>
      <c r="F422" s="27">
        <f t="shared" ref="F422:H426" si="60">F423</f>
        <v>336.1</v>
      </c>
      <c r="G422" s="27">
        <f t="shared" si="60"/>
        <v>280</v>
      </c>
      <c r="H422" s="27">
        <f t="shared" si="60"/>
        <v>616.1</v>
      </c>
      <c r="I422" s="27">
        <v>0</v>
      </c>
      <c r="J422" s="381"/>
      <c r="K422" s="27">
        <v>0</v>
      </c>
      <c r="L422" s="27">
        <v>0</v>
      </c>
      <c r="M422" s="27"/>
      <c r="N422" s="27">
        <v>0</v>
      </c>
    </row>
    <row r="423" spans="1:14" x14ac:dyDescent="0.3">
      <c r="A423" s="8"/>
      <c r="B423" s="23" t="s">
        <v>315</v>
      </c>
      <c r="C423" s="22"/>
      <c r="D423" s="21"/>
      <c r="E423" s="20" t="s">
        <v>314</v>
      </c>
      <c r="F423" s="27">
        <f t="shared" si="60"/>
        <v>336.1</v>
      </c>
      <c r="G423" s="27">
        <f t="shared" si="60"/>
        <v>280</v>
      </c>
      <c r="H423" s="27">
        <f t="shared" si="60"/>
        <v>616.1</v>
      </c>
      <c r="I423" s="27">
        <v>0</v>
      </c>
      <c r="J423" s="381"/>
      <c r="K423" s="27">
        <v>0</v>
      </c>
      <c r="L423" s="27">
        <v>0</v>
      </c>
      <c r="M423" s="27"/>
      <c r="N423" s="27">
        <v>0</v>
      </c>
    </row>
    <row r="424" spans="1:14" x14ac:dyDescent="0.3">
      <c r="A424" s="8"/>
      <c r="B424" s="23"/>
      <c r="C424" s="22" t="s">
        <v>36</v>
      </c>
      <c r="D424" s="21"/>
      <c r="E424" s="28" t="s">
        <v>35</v>
      </c>
      <c r="F424" s="27">
        <f t="shared" si="60"/>
        <v>336.1</v>
      </c>
      <c r="G424" s="27">
        <f t="shared" si="60"/>
        <v>280</v>
      </c>
      <c r="H424" s="27">
        <f t="shared" si="60"/>
        <v>616.1</v>
      </c>
      <c r="I424" s="27">
        <v>0</v>
      </c>
      <c r="J424" s="381"/>
      <c r="K424" s="27">
        <v>0</v>
      </c>
      <c r="L424" s="27">
        <v>0</v>
      </c>
      <c r="M424" s="27"/>
      <c r="N424" s="27">
        <v>0</v>
      </c>
    </row>
    <row r="425" spans="1:14" ht="26.4" x14ac:dyDescent="0.3">
      <c r="A425" s="98"/>
      <c r="B425" s="34"/>
      <c r="C425" s="35" t="s">
        <v>313</v>
      </c>
      <c r="D425" s="34"/>
      <c r="E425" s="33" t="s">
        <v>312</v>
      </c>
      <c r="F425" s="97">
        <f t="shared" si="60"/>
        <v>336.1</v>
      </c>
      <c r="G425" s="97">
        <f t="shared" si="60"/>
        <v>280</v>
      </c>
      <c r="H425" s="97">
        <f t="shared" si="60"/>
        <v>616.1</v>
      </c>
      <c r="I425" s="97">
        <v>0</v>
      </c>
      <c r="J425" s="396"/>
      <c r="K425" s="97">
        <v>0</v>
      </c>
      <c r="L425" s="97">
        <v>0</v>
      </c>
      <c r="M425" s="97"/>
      <c r="N425" s="97">
        <v>0</v>
      </c>
    </row>
    <row r="426" spans="1:14" ht="26.4" x14ac:dyDescent="0.3">
      <c r="A426" s="96"/>
      <c r="B426" s="68"/>
      <c r="C426" s="69" t="s">
        <v>311</v>
      </c>
      <c r="D426" s="68"/>
      <c r="E426" s="95" t="s">
        <v>310</v>
      </c>
      <c r="F426" s="94">
        <f t="shared" si="60"/>
        <v>336.1</v>
      </c>
      <c r="G426" s="94">
        <f t="shared" si="60"/>
        <v>280</v>
      </c>
      <c r="H426" s="94">
        <f t="shared" si="60"/>
        <v>616.1</v>
      </c>
      <c r="I426" s="94">
        <v>0</v>
      </c>
      <c r="J426" s="397"/>
      <c r="K426" s="94">
        <v>0</v>
      </c>
      <c r="L426" s="94">
        <v>0</v>
      </c>
      <c r="M426" s="94"/>
      <c r="N426" s="94">
        <v>0</v>
      </c>
    </row>
    <row r="427" spans="1:14" x14ac:dyDescent="0.3">
      <c r="A427" s="8"/>
      <c r="B427" s="23"/>
      <c r="C427" s="22" t="s">
        <v>309</v>
      </c>
      <c r="D427" s="23"/>
      <c r="E427" s="93" t="s">
        <v>308</v>
      </c>
      <c r="F427" s="27">
        <f>F428+F430</f>
        <v>336.1</v>
      </c>
      <c r="G427" s="27">
        <f>G428+G430</f>
        <v>280</v>
      </c>
      <c r="H427" s="27">
        <f>H428+H430</f>
        <v>616.1</v>
      </c>
      <c r="I427" s="27">
        <v>0</v>
      </c>
      <c r="J427" s="381"/>
      <c r="K427" s="27">
        <v>0</v>
      </c>
      <c r="L427" s="27">
        <v>0</v>
      </c>
      <c r="M427" s="27"/>
      <c r="N427" s="27">
        <v>0</v>
      </c>
    </row>
    <row r="428" spans="1:14" ht="26.4" x14ac:dyDescent="0.3">
      <c r="A428" s="8"/>
      <c r="B428" s="55"/>
      <c r="C428" s="92" t="s">
        <v>307</v>
      </c>
      <c r="D428" s="23"/>
      <c r="E428" s="10" t="s">
        <v>306</v>
      </c>
      <c r="F428" s="9">
        <f>F429</f>
        <v>36.1</v>
      </c>
      <c r="G428" s="9"/>
      <c r="H428" s="9">
        <f>H429</f>
        <v>36.1</v>
      </c>
      <c r="I428" s="9">
        <v>0</v>
      </c>
      <c r="J428" s="380"/>
      <c r="K428" s="9">
        <v>0</v>
      </c>
      <c r="L428" s="9">
        <v>0</v>
      </c>
      <c r="M428" s="9"/>
      <c r="N428" s="9">
        <v>0</v>
      </c>
    </row>
    <row r="429" spans="1:14" x14ac:dyDescent="0.3">
      <c r="A429" s="8"/>
      <c r="B429" s="23"/>
      <c r="C429" s="57"/>
      <c r="D429" s="7" t="s">
        <v>12</v>
      </c>
      <c r="E429" s="6" t="s">
        <v>11</v>
      </c>
      <c r="F429" s="9">
        <v>36.1</v>
      </c>
      <c r="G429" s="9"/>
      <c r="H429" s="9">
        <v>36.1</v>
      </c>
      <c r="I429" s="9">
        <v>0</v>
      </c>
      <c r="J429" s="380"/>
      <c r="K429" s="9">
        <v>0</v>
      </c>
      <c r="L429" s="9">
        <v>0</v>
      </c>
      <c r="M429" s="9"/>
      <c r="N429" s="9">
        <v>0</v>
      </c>
    </row>
    <row r="430" spans="1:14" s="24" customFormat="1" ht="15" customHeight="1" x14ac:dyDescent="0.3">
      <c r="A430" s="90"/>
      <c r="B430" s="90"/>
      <c r="C430" s="7" t="s">
        <v>610</v>
      </c>
      <c r="D430" s="7"/>
      <c r="E430" s="6" t="s">
        <v>611</v>
      </c>
      <c r="F430" s="9">
        <f>F431</f>
        <v>300</v>
      </c>
      <c r="G430" s="9">
        <v>280</v>
      </c>
      <c r="H430" s="9">
        <f>H431</f>
        <v>580</v>
      </c>
      <c r="I430" s="9">
        <v>0</v>
      </c>
      <c r="J430" s="380"/>
      <c r="K430" s="9">
        <v>0</v>
      </c>
      <c r="L430" s="9">
        <v>0</v>
      </c>
      <c r="M430" s="9"/>
      <c r="N430" s="9">
        <v>0</v>
      </c>
    </row>
    <row r="431" spans="1:14" s="24" customFormat="1" x14ac:dyDescent="0.3">
      <c r="A431" s="90"/>
      <c r="B431" s="90"/>
      <c r="C431" s="141"/>
      <c r="D431" s="7" t="s">
        <v>12</v>
      </c>
      <c r="E431" s="6" t="s">
        <v>11</v>
      </c>
      <c r="F431" s="9">
        <v>300</v>
      </c>
      <c r="G431" s="9">
        <v>280</v>
      </c>
      <c r="H431" s="9">
        <v>580</v>
      </c>
      <c r="I431" s="9">
        <v>0</v>
      </c>
      <c r="J431" s="380"/>
      <c r="K431" s="9">
        <v>0</v>
      </c>
      <c r="L431" s="9">
        <v>0</v>
      </c>
      <c r="M431" s="9"/>
      <c r="N431" s="9">
        <v>0</v>
      </c>
    </row>
    <row r="432" spans="1:14" x14ac:dyDescent="0.3">
      <c r="A432" s="8"/>
      <c r="B432" s="23" t="s">
        <v>162</v>
      </c>
      <c r="C432" s="22"/>
      <c r="D432" s="21"/>
      <c r="E432" s="20" t="s">
        <v>161</v>
      </c>
      <c r="F432" s="27">
        <f>F433</f>
        <v>9036.1299999999992</v>
      </c>
      <c r="G432" s="27">
        <f>G433</f>
        <v>0</v>
      </c>
      <c r="H432" s="27">
        <f>H433</f>
        <v>9036.1299999999992</v>
      </c>
      <c r="I432" s="27">
        <f>I433</f>
        <v>0</v>
      </c>
      <c r="J432" s="381"/>
      <c r="K432" s="27">
        <f>K433</f>
        <v>0</v>
      </c>
      <c r="L432" s="27">
        <f>L433</f>
        <v>0</v>
      </c>
      <c r="M432" s="27"/>
      <c r="N432" s="27">
        <f>N433</f>
        <v>0</v>
      </c>
    </row>
    <row r="433" spans="1:14" x14ac:dyDescent="0.3">
      <c r="A433" s="8"/>
      <c r="B433" s="23" t="s">
        <v>257</v>
      </c>
      <c r="C433" s="22"/>
      <c r="D433" s="21"/>
      <c r="E433" s="20" t="s">
        <v>256</v>
      </c>
      <c r="F433" s="27">
        <f>F434+F440</f>
        <v>9036.1299999999992</v>
      </c>
      <c r="G433" s="27">
        <f>G434+G440</f>
        <v>0</v>
      </c>
      <c r="H433" s="27">
        <f>H434+H440</f>
        <v>9036.1299999999992</v>
      </c>
      <c r="I433" s="27">
        <f>I434</f>
        <v>0</v>
      </c>
      <c r="J433" s="381"/>
      <c r="K433" s="27">
        <f>K434</f>
        <v>0</v>
      </c>
      <c r="L433" s="27">
        <f>L434</f>
        <v>0</v>
      </c>
      <c r="M433" s="27"/>
      <c r="N433" s="27">
        <f>N434</f>
        <v>0</v>
      </c>
    </row>
    <row r="434" spans="1:14" x14ac:dyDescent="0.3">
      <c r="A434" s="8"/>
      <c r="B434" s="23"/>
      <c r="C434" s="22" t="s">
        <v>36</v>
      </c>
      <c r="D434" s="21"/>
      <c r="E434" s="28" t="s">
        <v>35</v>
      </c>
      <c r="F434" s="27">
        <f t="shared" ref="F434:H438" si="61">F435</f>
        <v>8191.33</v>
      </c>
      <c r="G434" s="27"/>
      <c r="H434" s="27">
        <f t="shared" si="61"/>
        <v>8191.33</v>
      </c>
      <c r="I434" s="27">
        <f t="shared" ref="I434:N437" si="62">I435</f>
        <v>0</v>
      </c>
      <c r="J434" s="381"/>
      <c r="K434" s="27">
        <f t="shared" si="62"/>
        <v>0</v>
      </c>
      <c r="L434" s="27">
        <f t="shared" si="62"/>
        <v>0</v>
      </c>
      <c r="M434" s="27"/>
      <c r="N434" s="27">
        <f t="shared" si="62"/>
        <v>0</v>
      </c>
    </row>
    <row r="435" spans="1:14" ht="26.4" x14ac:dyDescent="0.3">
      <c r="A435" s="54"/>
      <c r="B435" s="34"/>
      <c r="C435" s="35" t="s">
        <v>87</v>
      </c>
      <c r="D435" s="34"/>
      <c r="E435" s="33" t="s">
        <v>227</v>
      </c>
      <c r="F435" s="32">
        <f t="shared" si="61"/>
        <v>8191.33</v>
      </c>
      <c r="G435" s="32"/>
      <c r="H435" s="32">
        <f t="shared" si="61"/>
        <v>8191.33</v>
      </c>
      <c r="I435" s="32">
        <f t="shared" si="62"/>
        <v>0</v>
      </c>
      <c r="J435" s="377"/>
      <c r="K435" s="32">
        <f t="shared" si="62"/>
        <v>0</v>
      </c>
      <c r="L435" s="32">
        <f t="shared" si="62"/>
        <v>0</v>
      </c>
      <c r="M435" s="32"/>
      <c r="N435" s="32">
        <f t="shared" si="62"/>
        <v>0</v>
      </c>
    </row>
    <row r="436" spans="1:14" x14ac:dyDescent="0.3">
      <c r="A436" s="31"/>
      <c r="B436" s="31"/>
      <c r="C436" s="31" t="s">
        <v>191</v>
      </c>
      <c r="D436" s="31"/>
      <c r="E436" s="83" t="s">
        <v>190</v>
      </c>
      <c r="F436" s="29">
        <f t="shared" si="61"/>
        <v>8191.33</v>
      </c>
      <c r="G436" s="29"/>
      <c r="H436" s="29">
        <f t="shared" si="61"/>
        <v>8191.33</v>
      </c>
      <c r="I436" s="29">
        <f t="shared" si="62"/>
        <v>0</v>
      </c>
      <c r="J436" s="378"/>
      <c r="K436" s="29">
        <f t="shared" si="62"/>
        <v>0</v>
      </c>
      <c r="L436" s="29">
        <f t="shared" si="62"/>
        <v>0</v>
      </c>
      <c r="M436" s="29"/>
      <c r="N436" s="29">
        <f t="shared" si="62"/>
        <v>0</v>
      </c>
    </row>
    <row r="437" spans="1:14" s="24" customFormat="1" ht="41.25" customHeight="1" x14ac:dyDescent="0.3">
      <c r="A437" s="223"/>
      <c r="B437" s="223"/>
      <c r="C437" s="223" t="s">
        <v>305</v>
      </c>
      <c r="D437" s="223"/>
      <c r="E437" s="224" t="s">
        <v>304</v>
      </c>
      <c r="F437" s="225">
        <f t="shared" si="61"/>
        <v>8191.33</v>
      </c>
      <c r="G437" s="225"/>
      <c r="H437" s="225">
        <f t="shared" si="61"/>
        <v>8191.33</v>
      </c>
      <c r="I437" s="225">
        <f>I438</f>
        <v>0</v>
      </c>
      <c r="J437" s="379"/>
      <c r="K437" s="225">
        <f>K438</f>
        <v>0</v>
      </c>
      <c r="L437" s="225">
        <f>L438</f>
        <v>0</v>
      </c>
      <c r="M437" s="225"/>
      <c r="N437" s="225">
        <f t="shared" si="62"/>
        <v>0</v>
      </c>
    </row>
    <row r="438" spans="1:14" ht="26.4" x14ac:dyDescent="0.3">
      <c r="A438" s="8"/>
      <c r="B438" s="8"/>
      <c r="C438" s="7" t="s">
        <v>303</v>
      </c>
      <c r="D438" s="7"/>
      <c r="E438" s="91" t="s">
        <v>302</v>
      </c>
      <c r="F438" s="5">
        <f t="shared" si="61"/>
        <v>8191.33</v>
      </c>
      <c r="G438" s="5"/>
      <c r="H438" s="5">
        <f t="shared" si="61"/>
        <v>8191.33</v>
      </c>
      <c r="I438" s="5">
        <f>I439</f>
        <v>0</v>
      </c>
      <c r="J438" s="382"/>
      <c r="K438" s="5">
        <f>K439</f>
        <v>0</v>
      </c>
      <c r="L438" s="5">
        <v>0</v>
      </c>
      <c r="M438" s="5"/>
      <c r="N438" s="5">
        <v>0</v>
      </c>
    </row>
    <row r="439" spans="1:14" ht="27" x14ac:dyDescent="0.3">
      <c r="A439" s="8"/>
      <c r="B439" s="8"/>
      <c r="C439" s="7"/>
      <c r="D439" s="7" t="s">
        <v>276</v>
      </c>
      <c r="E439" s="6" t="s">
        <v>275</v>
      </c>
      <c r="F439" s="5">
        <v>8191.33</v>
      </c>
      <c r="G439" s="5"/>
      <c r="H439" s="5">
        <v>8191.33</v>
      </c>
      <c r="I439" s="5">
        <v>0</v>
      </c>
      <c r="J439" s="382"/>
      <c r="K439" s="5">
        <v>0</v>
      </c>
      <c r="L439" s="5">
        <v>0</v>
      </c>
      <c r="M439" s="5"/>
      <c r="N439" s="5">
        <v>0</v>
      </c>
    </row>
    <row r="440" spans="1:14" x14ac:dyDescent="0.3">
      <c r="A440" s="98"/>
      <c r="B440" s="98"/>
      <c r="C440" s="242" t="s">
        <v>18</v>
      </c>
      <c r="D440" s="242"/>
      <c r="E440" s="245" t="s">
        <v>17</v>
      </c>
      <c r="F440" s="288">
        <f>F441</f>
        <v>844.80000000000007</v>
      </c>
      <c r="G440" s="288">
        <f>G441</f>
        <v>0</v>
      </c>
      <c r="H440" s="288">
        <f>H441</f>
        <v>844.80000000000007</v>
      </c>
      <c r="I440" s="288">
        <f>I441</f>
        <v>0</v>
      </c>
      <c r="J440" s="398"/>
      <c r="K440" s="288">
        <f>K441</f>
        <v>0</v>
      </c>
      <c r="L440" s="288">
        <f>L441</f>
        <v>0</v>
      </c>
      <c r="M440" s="288"/>
      <c r="N440" s="288">
        <f>N441</f>
        <v>0</v>
      </c>
    </row>
    <row r="441" spans="1:14" ht="27" x14ac:dyDescent="0.3">
      <c r="A441" s="204"/>
      <c r="B441" s="204"/>
      <c r="C441" s="15" t="s">
        <v>16</v>
      </c>
      <c r="D441" s="15"/>
      <c r="E441" s="14" t="s">
        <v>15</v>
      </c>
      <c r="F441" s="289">
        <f>F442+F444</f>
        <v>844.80000000000007</v>
      </c>
      <c r="G441" s="289">
        <f>G442+G444</f>
        <v>0</v>
      </c>
      <c r="H441" s="289">
        <f>H442+H444</f>
        <v>844.80000000000007</v>
      </c>
      <c r="I441" s="289">
        <f>I442+I444</f>
        <v>0</v>
      </c>
      <c r="J441" s="399"/>
      <c r="K441" s="289">
        <f>K442+K444</f>
        <v>0</v>
      </c>
      <c r="L441" s="289">
        <f>L442+L444</f>
        <v>0</v>
      </c>
      <c r="M441" s="289"/>
      <c r="N441" s="289">
        <f>N442+N444</f>
        <v>0</v>
      </c>
    </row>
    <row r="442" spans="1:14" ht="26.4" x14ac:dyDescent="0.3">
      <c r="A442" s="8"/>
      <c r="B442" s="8"/>
      <c r="C442" s="75" t="s">
        <v>827</v>
      </c>
      <c r="D442" s="7"/>
      <c r="E442" s="10" t="s">
        <v>828</v>
      </c>
      <c r="F442" s="281">
        <f>F443</f>
        <v>91.2</v>
      </c>
      <c r="G442" s="281"/>
      <c r="H442" s="281">
        <f>H443</f>
        <v>91.2</v>
      </c>
      <c r="I442" s="281">
        <f>I443</f>
        <v>0</v>
      </c>
      <c r="J442" s="389"/>
      <c r="K442" s="281">
        <f>K443</f>
        <v>0</v>
      </c>
      <c r="L442" s="281">
        <f>L443</f>
        <v>0</v>
      </c>
      <c r="M442" s="281"/>
      <c r="N442" s="281">
        <f>N443</f>
        <v>0</v>
      </c>
    </row>
    <row r="443" spans="1:14" x14ac:dyDescent="0.3">
      <c r="A443" s="8"/>
      <c r="B443" s="8"/>
      <c r="C443" s="23"/>
      <c r="D443" s="7" t="s">
        <v>12</v>
      </c>
      <c r="E443" s="6" t="s">
        <v>11</v>
      </c>
      <c r="F443" s="281">
        <v>91.2</v>
      </c>
      <c r="G443" s="281"/>
      <c r="H443" s="281">
        <v>91.2</v>
      </c>
      <c r="I443" s="5">
        <v>0</v>
      </c>
      <c r="J443" s="382"/>
      <c r="K443" s="5">
        <v>0</v>
      </c>
      <c r="L443" s="5">
        <v>0</v>
      </c>
      <c r="M443" s="5"/>
      <c r="N443" s="5">
        <v>0</v>
      </c>
    </row>
    <row r="444" spans="1:14" ht="27" x14ac:dyDescent="0.3">
      <c r="A444" s="8"/>
      <c r="B444" s="8"/>
      <c r="C444" s="75" t="s">
        <v>853</v>
      </c>
      <c r="D444" s="75"/>
      <c r="E444" s="332" t="s">
        <v>855</v>
      </c>
      <c r="F444" s="281">
        <f>F445</f>
        <v>753.6</v>
      </c>
      <c r="G444" s="281"/>
      <c r="H444" s="281">
        <f>H445+H446</f>
        <v>753.6</v>
      </c>
      <c r="I444" s="281">
        <f>I445</f>
        <v>0</v>
      </c>
      <c r="J444" s="389"/>
      <c r="K444" s="281">
        <f>K445</f>
        <v>0</v>
      </c>
      <c r="L444" s="281">
        <f>L445</f>
        <v>0</v>
      </c>
      <c r="M444" s="281"/>
      <c r="N444" s="281">
        <f>N445</f>
        <v>0</v>
      </c>
    </row>
    <row r="445" spans="1:14" x14ac:dyDescent="0.3">
      <c r="A445" s="8"/>
      <c r="B445" s="8"/>
      <c r="C445" s="23"/>
      <c r="D445" s="7" t="s">
        <v>12</v>
      </c>
      <c r="E445" s="6" t="s">
        <v>11</v>
      </c>
      <c r="F445" s="281">
        <v>753.6</v>
      </c>
      <c r="G445" s="281">
        <v>-753.6</v>
      </c>
      <c r="H445" s="281">
        <v>0</v>
      </c>
      <c r="I445" s="5">
        <v>0</v>
      </c>
      <c r="J445" s="382"/>
      <c r="K445" s="5">
        <v>0</v>
      </c>
      <c r="L445" s="5">
        <v>0</v>
      </c>
      <c r="M445" s="5"/>
      <c r="N445" s="5">
        <v>0</v>
      </c>
    </row>
    <row r="446" spans="1:14" ht="27" x14ac:dyDescent="0.3">
      <c r="A446" s="333"/>
      <c r="B446" s="333"/>
      <c r="C446" s="334"/>
      <c r="D446" s="335" t="s">
        <v>276</v>
      </c>
      <c r="E446" s="6" t="s">
        <v>275</v>
      </c>
      <c r="F446" s="336"/>
      <c r="G446" s="336">
        <v>753.6</v>
      </c>
      <c r="H446" s="281">
        <v>753.6</v>
      </c>
      <c r="I446" s="337"/>
      <c r="J446" s="382"/>
      <c r="K446" s="337"/>
      <c r="L446" s="337"/>
      <c r="M446" s="337"/>
      <c r="N446" s="337"/>
    </row>
    <row r="447" spans="1:14" x14ac:dyDescent="0.3">
      <c r="A447" s="88"/>
      <c r="B447" s="63" t="s">
        <v>136</v>
      </c>
      <c r="C447" s="63"/>
      <c r="D447" s="87"/>
      <c r="E447" s="86" t="s">
        <v>135</v>
      </c>
      <c r="F447" s="85">
        <f>F448+F466</f>
        <v>68505.130929999999</v>
      </c>
      <c r="G447" s="85">
        <f>G448+G466</f>
        <v>0</v>
      </c>
      <c r="H447" s="85">
        <f>H448+H466</f>
        <v>68505.130929999999</v>
      </c>
      <c r="I447" s="85">
        <f t="shared" ref="F447:N451" si="63">I448</f>
        <v>0</v>
      </c>
      <c r="J447" s="376"/>
      <c r="K447" s="85">
        <f t="shared" si="63"/>
        <v>0</v>
      </c>
      <c r="L447" s="85">
        <f t="shared" si="63"/>
        <v>0</v>
      </c>
      <c r="M447" s="85"/>
      <c r="N447" s="85">
        <f t="shared" si="63"/>
        <v>0</v>
      </c>
    </row>
    <row r="448" spans="1:14" x14ac:dyDescent="0.3">
      <c r="A448" s="88"/>
      <c r="B448" s="63" t="s">
        <v>134</v>
      </c>
      <c r="C448" s="63"/>
      <c r="D448" s="87"/>
      <c r="E448" s="86" t="s">
        <v>133</v>
      </c>
      <c r="F448" s="85">
        <f t="shared" si="63"/>
        <v>68477.130929999999</v>
      </c>
      <c r="G448" s="85">
        <f t="shared" si="63"/>
        <v>0</v>
      </c>
      <c r="H448" s="85">
        <f t="shared" si="63"/>
        <v>68477.130929999999</v>
      </c>
      <c r="I448" s="85">
        <f t="shared" si="63"/>
        <v>0</v>
      </c>
      <c r="J448" s="376"/>
      <c r="K448" s="85">
        <f t="shared" si="63"/>
        <v>0</v>
      </c>
      <c r="L448" s="85">
        <f t="shared" si="63"/>
        <v>0</v>
      </c>
      <c r="M448" s="85"/>
      <c r="N448" s="85">
        <f t="shared" si="63"/>
        <v>0</v>
      </c>
    </row>
    <row r="449" spans="1:14" x14ac:dyDescent="0.3">
      <c r="A449" s="21"/>
      <c r="B449" s="23"/>
      <c r="C449" s="22" t="s">
        <v>36</v>
      </c>
      <c r="D449" s="23"/>
      <c r="E449" s="28" t="s">
        <v>35</v>
      </c>
      <c r="F449" s="27">
        <f t="shared" si="63"/>
        <v>68477.130929999999</v>
      </c>
      <c r="G449" s="27">
        <f t="shared" si="63"/>
        <v>0</v>
      </c>
      <c r="H449" s="27">
        <f t="shared" si="63"/>
        <v>68477.130929999999</v>
      </c>
      <c r="I449" s="27">
        <f t="shared" si="63"/>
        <v>0</v>
      </c>
      <c r="J449" s="381"/>
      <c r="K449" s="27">
        <f t="shared" si="63"/>
        <v>0</v>
      </c>
      <c r="L449" s="27">
        <f t="shared" si="63"/>
        <v>0</v>
      </c>
      <c r="M449" s="27"/>
      <c r="N449" s="27">
        <f t="shared" si="63"/>
        <v>0</v>
      </c>
    </row>
    <row r="450" spans="1:14" ht="26.4" x14ac:dyDescent="0.3">
      <c r="A450" s="54"/>
      <c r="B450" s="34"/>
      <c r="C450" s="35" t="s">
        <v>301</v>
      </c>
      <c r="D450" s="34"/>
      <c r="E450" s="33" t="s">
        <v>300</v>
      </c>
      <c r="F450" s="32">
        <f t="shared" si="63"/>
        <v>68477.130929999999</v>
      </c>
      <c r="G450" s="32">
        <f t="shared" si="63"/>
        <v>0</v>
      </c>
      <c r="H450" s="32">
        <f t="shared" si="63"/>
        <v>68477.130929999999</v>
      </c>
      <c r="I450" s="32">
        <f t="shared" si="63"/>
        <v>0</v>
      </c>
      <c r="J450" s="377"/>
      <c r="K450" s="32">
        <f t="shared" si="63"/>
        <v>0</v>
      </c>
      <c r="L450" s="32">
        <f t="shared" si="63"/>
        <v>0</v>
      </c>
      <c r="M450" s="32"/>
      <c r="N450" s="32">
        <f t="shared" si="63"/>
        <v>0</v>
      </c>
    </row>
    <row r="451" spans="1:14" ht="27" x14ac:dyDescent="0.3">
      <c r="A451" s="31"/>
      <c r="B451" s="31"/>
      <c r="C451" s="31" t="s">
        <v>299</v>
      </c>
      <c r="D451" s="31"/>
      <c r="E451" s="83" t="s">
        <v>100</v>
      </c>
      <c r="F451" s="29">
        <f>F452</f>
        <v>68477.130929999999</v>
      </c>
      <c r="G451" s="29">
        <f>G452+G460</f>
        <v>0</v>
      </c>
      <c r="H451" s="29">
        <f>H452+H460</f>
        <v>68477.130929999999</v>
      </c>
      <c r="I451" s="29">
        <f>I452</f>
        <v>0</v>
      </c>
      <c r="J451" s="378"/>
      <c r="K451" s="29">
        <f>K452</f>
        <v>0</v>
      </c>
      <c r="L451" s="29">
        <f>L452</f>
        <v>0</v>
      </c>
      <c r="M451" s="29"/>
      <c r="N451" s="29">
        <f t="shared" si="63"/>
        <v>0</v>
      </c>
    </row>
    <row r="452" spans="1:14" ht="40.200000000000003" x14ac:dyDescent="0.3">
      <c r="A452" s="223"/>
      <c r="B452" s="223"/>
      <c r="C452" s="223" t="s">
        <v>298</v>
      </c>
      <c r="D452" s="223"/>
      <c r="E452" s="224" t="s">
        <v>117</v>
      </c>
      <c r="F452" s="225">
        <f>F456+F454</f>
        <v>68477.130929999999</v>
      </c>
      <c r="G452" s="225">
        <f>G456+G454</f>
        <v>-68430.930930000002</v>
      </c>
      <c r="H452" s="225">
        <f>H456+H454</f>
        <v>46.2</v>
      </c>
      <c r="I452" s="225">
        <f>I456</f>
        <v>0</v>
      </c>
      <c r="J452" s="379"/>
      <c r="K452" s="225">
        <f>K456</f>
        <v>0</v>
      </c>
      <c r="L452" s="225">
        <f>L456</f>
        <v>0</v>
      </c>
      <c r="M452" s="225"/>
      <c r="N452" s="225">
        <f>N456</f>
        <v>0</v>
      </c>
    </row>
    <row r="453" spans="1:14" s="24" customFormat="1" ht="27" x14ac:dyDescent="0.3">
      <c r="A453" s="7"/>
      <c r="B453" s="7"/>
      <c r="C453" s="7" t="s">
        <v>740</v>
      </c>
      <c r="D453" s="7"/>
      <c r="E453" s="6" t="s">
        <v>631</v>
      </c>
      <c r="F453" s="9">
        <f>F454</f>
        <v>46.2</v>
      </c>
      <c r="G453" s="9"/>
      <c r="H453" s="9">
        <f>H454</f>
        <v>46.2</v>
      </c>
      <c r="I453" s="5">
        <f>I454</f>
        <v>0</v>
      </c>
      <c r="J453" s="382"/>
      <c r="K453" s="5">
        <f>K454</f>
        <v>0</v>
      </c>
      <c r="L453" s="5">
        <v>0</v>
      </c>
      <c r="M453" s="5"/>
      <c r="N453" s="5">
        <v>0</v>
      </c>
    </row>
    <row r="454" spans="1:14" s="24" customFormat="1" x14ac:dyDescent="0.3">
      <c r="A454" s="7"/>
      <c r="B454" s="7"/>
      <c r="C454" s="7"/>
      <c r="D454" s="7" t="s">
        <v>12</v>
      </c>
      <c r="E454" s="6" t="s">
        <v>11</v>
      </c>
      <c r="F454" s="9">
        <v>46.2</v>
      </c>
      <c r="G454" s="9"/>
      <c r="H454" s="9">
        <v>46.2</v>
      </c>
      <c r="I454" s="5">
        <f>I455</f>
        <v>0</v>
      </c>
      <c r="J454" s="382"/>
      <c r="K454" s="5">
        <f>K455</f>
        <v>0</v>
      </c>
      <c r="L454" s="5">
        <v>0</v>
      </c>
      <c r="M454" s="5"/>
      <c r="N454" s="5">
        <v>0</v>
      </c>
    </row>
    <row r="455" spans="1:14" s="24" customFormat="1" x14ac:dyDescent="0.3">
      <c r="A455" s="61"/>
      <c r="B455" s="61"/>
      <c r="C455" s="37" t="s">
        <v>297</v>
      </c>
      <c r="D455" s="10"/>
      <c r="E455" s="10" t="s">
        <v>296</v>
      </c>
      <c r="F455" s="9">
        <f t="shared" ref="F455:H456" si="64">F456</f>
        <v>68430.930930000002</v>
      </c>
      <c r="G455" s="9">
        <f t="shared" si="64"/>
        <v>-68430.930930000002</v>
      </c>
      <c r="H455" s="9">
        <f t="shared" si="64"/>
        <v>0</v>
      </c>
      <c r="I455" s="9">
        <f>I456</f>
        <v>0</v>
      </c>
      <c r="J455" s="380"/>
      <c r="K455" s="9">
        <f>K456</f>
        <v>0</v>
      </c>
      <c r="L455" s="9">
        <v>0</v>
      </c>
      <c r="M455" s="9"/>
      <c r="N455" s="9">
        <v>0</v>
      </c>
    </row>
    <row r="456" spans="1:14" x14ac:dyDescent="0.3">
      <c r="A456" s="84"/>
      <c r="B456" s="84"/>
      <c r="C456" s="61"/>
      <c r="D456" s="84"/>
      <c r="E456" s="82" t="s">
        <v>295</v>
      </c>
      <c r="F456" s="5">
        <f t="shared" si="64"/>
        <v>68430.930930000002</v>
      </c>
      <c r="G456" s="5">
        <f t="shared" si="64"/>
        <v>-68430.930930000002</v>
      </c>
      <c r="H456" s="5">
        <f t="shared" si="64"/>
        <v>0</v>
      </c>
      <c r="I456" s="5">
        <f>I457</f>
        <v>0</v>
      </c>
      <c r="J456" s="382"/>
      <c r="K456" s="5">
        <f>K457</f>
        <v>0</v>
      </c>
      <c r="L456" s="5">
        <v>0</v>
      </c>
      <c r="M456" s="5"/>
      <c r="N456" s="5">
        <v>0</v>
      </c>
    </row>
    <row r="457" spans="1:14" ht="27" x14ac:dyDescent="0.3">
      <c r="A457" s="84"/>
      <c r="B457" s="84"/>
      <c r="C457" s="84"/>
      <c r="D457" s="75" t="s">
        <v>276</v>
      </c>
      <c r="E457" s="6" t="s">
        <v>275</v>
      </c>
      <c r="F457" s="5">
        <f>F458+F459</f>
        <v>68430.930930000002</v>
      </c>
      <c r="G457" s="5">
        <f>G458+G459</f>
        <v>-68430.930930000002</v>
      </c>
      <c r="H457" s="5">
        <f>H458+H459</f>
        <v>0</v>
      </c>
      <c r="I457" s="5">
        <f>I458+I459</f>
        <v>0</v>
      </c>
      <c r="J457" s="382"/>
      <c r="K457" s="5">
        <f>K458+K459</f>
        <v>0</v>
      </c>
      <c r="L457" s="5">
        <v>0</v>
      </c>
      <c r="M457" s="5"/>
      <c r="N457" s="5">
        <v>0</v>
      </c>
    </row>
    <row r="458" spans="1:14" x14ac:dyDescent="0.3">
      <c r="A458" s="84"/>
      <c r="B458" s="84"/>
      <c r="C458" s="84"/>
      <c r="D458" s="75"/>
      <c r="E458" s="6" t="s">
        <v>165</v>
      </c>
      <c r="F458" s="5">
        <v>68362.5</v>
      </c>
      <c r="G458" s="5">
        <v>-68362.5</v>
      </c>
      <c r="H458" s="5">
        <v>0</v>
      </c>
      <c r="I458" s="5">
        <v>0</v>
      </c>
      <c r="J458" s="382"/>
      <c r="K458" s="5">
        <v>0</v>
      </c>
      <c r="L458" s="5">
        <v>0</v>
      </c>
      <c r="M458" s="5"/>
      <c r="N458" s="5">
        <v>0</v>
      </c>
    </row>
    <row r="459" spans="1:14" x14ac:dyDescent="0.3">
      <c r="A459" s="84"/>
      <c r="B459" s="84"/>
      <c r="C459" s="84"/>
      <c r="D459" s="75"/>
      <c r="E459" s="6" t="s">
        <v>164</v>
      </c>
      <c r="F459" s="5">
        <v>68.430930000000004</v>
      </c>
      <c r="G459" s="5">
        <v>-68.430930000000004</v>
      </c>
      <c r="H459" s="5">
        <v>0</v>
      </c>
      <c r="I459" s="59">
        <v>0</v>
      </c>
      <c r="J459" s="400"/>
      <c r="K459" s="59">
        <v>0</v>
      </c>
      <c r="L459" s="5">
        <v>0</v>
      </c>
      <c r="M459" s="5"/>
      <c r="N459" s="5">
        <v>0</v>
      </c>
    </row>
    <row r="460" spans="1:14" x14ac:dyDescent="0.3">
      <c r="A460" s="223"/>
      <c r="B460" s="223"/>
      <c r="C460" s="369" t="s">
        <v>892</v>
      </c>
      <c r="D460" s="369"/>
      <c r="E460" s="373" t="s">
        <v>893</v>
      </c>
      <c r="F460" s="225">
        <f t="shared" ref="F460:H462" si="65">F461</f>
        <v>0</v>
      </c>
      <c r="G460" s="225">
        <f t="shared" si="65"/>
        <v>68430.930930000002</v>
      </c>
      <c r="H460" s="225">
        <f>H461</f>
        <v>68430.930930000002</v>
      </c>
      <c r="I460" s="225">
        <f>I461</f>
        <v>0</v>
      </c>
      <c r="J460" s="225"/>
      <c r="K460" s="225">
        <f>K461</f>
        <v>0</v>
      </c>
      <c r="L460" s="225">
        <f>L461</f>
        <v>0</v>
      </c>
      <c r="M460" s="225"/>
      <c r="N460" s="225">
        <f>N461</f>
        <v>0</v>
      </c>
    </row>
    <row r="461" spans="1:14" s="24" customFormat="1" x14ac:dyDescent="0.3">
      <c r="A461" s="61"/>
      <c r="B461" s="61"/>
      <c r="C461" s="37" t="s">
        <v>894</v>
      </c>
      <c r="D461" s="23"/>
      <c r="E461" s="6" t="s">
        <v>647</v>
      </c>
      <c r="F461" s="9">
        <f t="shared" si="65"/>
        <v>0</v>
      </c>
      <c r="G461" s="9">
        <f t="shared" si="65"/>
        <v>68430.930930000002</v>
      </c>
      <c r="H461" s="9">
        <f>H462</f>
        <v>68430.930930000002</v>
      </c>
      <c r="I461" s="9">
        <f>I462</f>
        <v>0</v>
      </c>
      <c r="J461" s="9"/>
      <c r="K461" s="9">
        <f>K462</f>
        <v>0</v>
      </c>
      <c r="L461" s="9">
        <f>L462</f>
        <v>0</v>
      </c>
      <c r="M461" s="9"/>
      <c r="N461" s="9">
        <f>N462</f>
        <v>0</v>
      </c>
    </row>
    <row r="462" spans="1:14" x14ac:dyDescent="0.3">
      <c r="A462" s="84"/>
      <c r="B462" s="84"/>
      <c r="C462" s="61"/>
      <c r="D462" s="84"/>
      <c r="E462" s="82" t="s">
        <v>295</v>
      </c>
      <c r="F462" s="5">
        <v>0</v>
      </c>
      <c r="G462" s="5">
        <f t="shared" si="65"/>
        <v>68430.930930000002</v>
      </c>
      <c r="H462" s="5">
        <f t="shared" si="65"/>
        <v>68430.930930000002</v>
      </c>
      <c r="I462" s="5">
        <f>I463</f>
        <v>0</v>
      </c>
      <c r="J462" s="382"/>
      <c r="K462" s="5">
        <f>K463</f>
        <v>0</v>
      </c>
      <c r="L462" s="5">
        <v>0</v>
      </c>
      <c r="M462" s="5"/>
      <c r="N462" s="5">
        <v>0</v>
      </c>
    </row>
    <row r="463" spans="1:14" ht="27" x14ac:dyDescent="0.3">
      <c r="A463" s="84"/>
      <c r="B463" s="84"/>
      <c r="C463" s="84"/>
      <c r="D463" s="75" t="s">
        <v>276</v>
      </c>
      <c r="E463" s="6" t="s">
        <v>275</v>
      </c>
      <c r="F463" s="5">
        <v>0</v>
      </c>
      <c r="G463" s="5">
        <f>G464+G465</f>
        <v>68430.930930000002</v>
      </c>
      <c r="H463" s="5">
        <f>H464+H465</f>
        <v>68430.930930000002</v>
      </c>
      <c r="I463" s="5">
        <f>I464+I465</f>
        <v>0</v>
      </c>
      <c r="J463" s="382"/>
      <c r="K463" s="5">
        <f>K464+K465</f>
        <v>0</v>
      </c>
      <c r="L463" s="5">
        <v>0</v>
      </c>
      <c r="M463" s="5"/>
      <c r="N463" s="5">
        <v>0</v>
      </c>
    </row>
    <row r="464" spans="1:14" x14ac:dyDescent="0.3">
      <c r="A464" s="84"/>
      <c r="B464" s="84"/>
      <c r="C464" s="84"/>
      <c r="D464" s="75"/>
      <c r="E464" s="6" t="s">
        <v>165</v>
      </c>
      <c r="F464" s="5">
        <v>0</v>
      </c>
      <c r="G464" s="5">
        <v>68362.5</v>
      </c>
      <c r="H464" s="5">
        <v>68362.5</v>
      </c>
      <c r="I464" s="5">
        <v>0</v>
      </c>
      <c r="J464" s="382"/>
      <c r="K464" s="5">
        <v>0</v>
      </c>
      <c r="L464" s="5">
        <v>0</v>
      </c>
      <c r="M464" s="5"/>
      <c r="N464" s="5">
        <v>0</v>
      </c>
    </row>
    <row r="465" spans="1:14" x14ac:dyDescent="0.3">
      <c r="A465" s="84"/>
      <c r="B465" s="84"/>
      <c r="C465" s="84"/>
      <c r="D465" s="75"/>
      <c r="E465" s="6" t="s">
        <v>164</v>
      </c>
      <c r="F465" s="5">
        <v>0</v>
      </c>
      <c r="G465" s="5">
        <v>68.430930000000004</v>
      </c>
      <c r="H465" s="5">
        <v>68.430930000000004</v>
      </c>
      <c r="I465" s="59">
        <v>0</v>
      </c>
      <c r="J465" s="400"/>
      <c r="K465" s="59">
        <v>0</v>
      </c>
      <c r="L465" s="5">
        <v>0</v>
      </c>
      <c r="M465" s="5"/>
      <c r="N465" s="5">
        <v>0</v>
      </c>
    </row>
    <row r="466" spans="1:14" x14ac:dyDescent="0.3">
      <c r="A466" s="263"/>
      <c r="B466" s="23" t="s">
        <v>105</v>
      </c>
      <c r="C466" s="22"/>
      <c r="D466" s="21"/>
      <c r="E466" s="20" t="s">
        <v>104</v>
      </c>
      <c r="F466" s="60">
        <f t="shared" ref="F466:H471" si="66">F467</f>
        <v>28</v>
      </c>
      <c r="G466" s="60"/>
      <c r="H466" s="60">
        <f t="shared" si="66"/>
        <v>28</v>
      </c>
      <c r="I466" s="60">
        <f t="shared" ref="I466:N470" si="67">I467</f>
        <v>0</v>
      </c>
      <c r="J466" s="401"/>
      <c r="K466" s="60">
        <f t="shared" si="67"/>
        <v>0</v>
      </c>
      <c r="L466" s="60">
        <f t="shared" si="67"/>
        <v>0</v>
      </c>
      <c r="M466" s="60"/>
      <c r="N466" s="60">
        <f t="shared" si="67"/>
        <v>0</v>
      </c>
    </row>
    <row r="467" spans="1:14" x14ac:dyDescent="0.3">
      <c r="A467" s="263"/>
      <c r="B467" s="23"/>
      <c r="C467" s="22" t="s">
        <v>36</v>
      </c>
      <c r="D467" s="21"/>
      <c r="E467" s="28" t="s">
        <v>35</v>
      </c>
      <c r="F467" s="60">
        <f t="shared" si="66"/>
        <v>28</v>
      </c>
      <c r="G467" s="60"/>
      <c r="H467" s="60">
        <f t="shared" si="66"/>
        <v>28</v>
      </c>
      <c r="I467" s="60">
        <f t="shared" si="67"/>
        <v>0</v>
      </c>
      <c r="J467" s="401"/>
      <c r="K467" s="60">
        <f t="shared" si="67"/>
        <v>0</v>
      </c>
      <c r="L467" s="60">
        <f t="shared" si="67"/>
        <v>0</v>
      </c>
      <c r="M467" s="60"/>
      <c r="N467" s="60">
        <f t="shared" si="67"/>
        <v>0</v>
      </c>
    </row>
    <row r="468" spans="1:14" ht="26.4" x14ac:dyDescent="0.3">
      <c r="A468" s="264"/>
      <c r="B468" s="34"/>
      <c r="C468" s="35" t="s">
        <v>65</v>
      </c>
      <c r="D468" s="34"/>
      <c r="E468" s="33" t="s">
        <v>64</v>
      </c>
      <c r="F468" s="32">
        <f t="shared" si="66"/>
        <v>28</v>
      </c>
      <c r="G468" s="32"/>
      <c r="H468" s="32">
        <f t="shared" si="66"/>
        <v>28</v>
      </c>
      <c r="I468" s="32">
        <f t="shared" si="67"/>
        <v>0</v>
      </c>
      <c r="J468" s="377"/>
      <c r="K468" s="32">
        <f t="shared" si="67"/>
        <v>0</v>
      </c>
      <c r="L468" s="32">
        <f t="shared" si="67"/>
        <v>0</v>
      </c>
      <c r="M468" s="32"/>
      <c r="N468" s="32">
        <f t="shared" si="67"/>
        <v>0</v>
      </c>
    </row>
    <row r="469" spans="1:14" ht="27" x14ac:dyDescent="0.3">
      <c r="A469" s="265"/>
      <c r="B469" s="31"/>
      <c r="C469" s="31" t="s">
        <v>101</v>
      </c>
      <c r="D469" s="31"/>
      <c r="E469" s="52" t="s">
        <v>100</v>
      </c>
      <c r="F469" s="29">
        <f t="shared" si="66"/>
        <v>28</v>
      </c>
      <c r="G469" s="29"/>
      <c r="H469" s="29">
        <f t="shared" si="66"/>
        <v>28</v>
      </c>
      <c r="I469" s="29">
        <f t="shared" si="67"/>
        <v>0</v>
      </c>
      <c r="J469" s="378"/>
      <c r="K469" s="29">
        <f t="shared" si="67"/>
        <v>0</v>
      </c>
      <c r="L469" s="29">
        <f t="shared" si="67"/>
        <v>0</v>
      </c>
      <c r="M469" s="29"/>
      <c r="N469" s="29">
        <f t="shared" si="67"/>
        <v>0</v>
      </c>
    </row>
    <row r="470" spans="1:14" ht="27" x14ac:dyDescent="0.3">
      <c r="A470" s="266"/>
      <c r="B470" s="223"/>
      <c r="C470" s="223" t="s">
        <v>99</v>
      </c>
      <c r="D470" s="231"/>
      <c r="E470" s="224" t="s">
        <v>98</v>
      </c>
      <c r="F470" s="225">
        <f t="shared" si="66"/>
        <v>28</v>
      </c>
      <c r="G470" s="225"/>
      <c r="H470" s="225">
        <f t="shared" si="66"/>
        <v>28</v>
      </c>
      <c r="I470" s="225">
        <f t="shared" si="67"/>
        <v>0</v>
      </c>
      <c r="J470" s="379"/>
      <c r="K470" s="225">
        <f t="shared" si="67"/>
        <v>0</v>
      </c>
      <c r="L470" s="225">
        <f t="shared" si="67"/>
        <v>0</v>
      </c>
      <c r="M470" s="225"/>
      <c r="N470" s="225">
        <f t="shared" si="67"/>
        <v>0</v>
      </c>
    </row>
    <row r="471" spans="1:14" s="58" customFormat="1" x14ac:dyDescent="0.3">
      <c r="A471" s="74"/>
      <c r="B471" s="7"/>
      <c r="C471" s="7" t="s">
        <v>617</v>
      </c>
      <c r="D471" s="7"/>
      <c r="E471" s="6" t="s">
        <v>618</v>
      </c>
      <c r="F471" s="282">
        <f t="shared" si="66"/>
        <v>28</v>
      </c>
      <c r="G471" s="282"/>
      <c r="H471" s="282">
        <f t="shared" si="66"/>
        <v>28</v>
      </c>
      <c r="I471" s="9">
        <v>0</v>
      </c>
      <c r="J471" s="380"/>
      <c r="K471" s="9">
        <v>0</v>
      </c>
      <c r="L471" s="9">
        <v>0</v>
      </c>
      <c r="M471" s="9"/>
      <c r="N471" s="9">
        <v>0</v>
      </c>
    </row>
    <row r="472" spans="1:14" s="58" customFormat="1" x14ac:dyDescent="0.3">
      <c r="A472" s="74"/>
      <c r="B472" s="7"/>
      <c r="C472" s="7"/>
      <c r="D472" s="7" t="s">
        <v>12</v>
      </c>
      <c r="E472" s="6" t="s">
        <v>11</v>
      </c>
      <c r="F472" s="282">
        <v>28</v>
      </c>
      <c r="G472" s="282"/>
      <c r="H472" s="282">
        <v>28</v>
      </c>
      <c r="I472" s="9">
        <v>0</v>
      </c>
      <c r="J472" s="380"/>
      <c r="K472" s="9">
        <v>0</v>
      </c>
      <c r="L472" s="9">
        <v>0</v>
      </c>
      <c r="M472" s="9"/>
      <c r="N472" s="9">
        <v>0</v>
      </c>
    </row>
    <row r="473" spans="1:14" x14ac:dyDescent="0.3">
      <c r="A473" s="21"/>
      <c r="B473" s="23">
        <v>1000</v>
      </c>
      <c r="C473" s="22"/>
      <c r="D473" s="21"/>
      <c r="E473" s="20" t="s">
        <v>89</v>
      </c>
      <c r="F473" s="27">
        <f>F474+F481+F492+F506</f>
        <v>16685.633999999998</v>
      </c>
      <c r="G473" s="27">
        <f>G474+G481+G492+G506</f>
        <v>0</v>
      </c>
      <c r="H473" s="27">
        <f>H474+H481+H492+H506</f>
        <v>16685.633999999998</v>
      </c>
      <c r="I473" s="27">
        <f>I474+I481+I492+I506</f>
        <v>26619.683399999998</v>
      </c>
      <c r="J473" s="381"/>
      <c r="K473" s="27">
        <f>K474+K481+K492+K506</f>
        <v>26619.683399999998</v>
      </c>
      <c r="L473" s="27">
        <f>L474+L481+L492+L506</f>
        <v>20233.925559999996</v>
      </c>
      <c r="M473" s="27"/>
      <c r="N473" s="27">
        <f>N474+N481+N492+N506</f>
        <v>20233.925559999996</v>
      </c>
    </row>
    <row r="474" spans="1:14" x14ac:dyDescent="0.3">
      <c r="A474" s="21"/>
      <c r="B474" s="23" t="s">
        <v>294</v>
      </c>
      <c r="C474" s="22"/>
      <c r="D474" s="21"/>
      <c r="E474" s="28" t="s">
        <v>293</v>
      </c>
      <c r="F474" s="27">
        <f t="shared" ref="F474:N479" si="68">F475</f>
        <v>8606.5</v>
      </c>
      <c r="G474" s="27"/>
      <c r="H474" s="27">
        <f t="shared" si="68"/>
        <v>8606.5</v>
      </c>
      <c r="I474" s="27">
        <f t="shared" si="68"/>
        <v>8752.0999999999985</v>
      </c>
      <c r="J474" s="381"/>
      <c r="K474" s="27">
        <f t="shared" si="68"/>
        <v>8752.0999999999985</v>
      </c>
      <c r="L474" s="27">
        <f t="shared" si="68"/>
        <v>8752.0999999999985</v>
      </c>
      <c r="M474" s="27"/>
      <c r="N474" s="27">
        <f t="shared" si="68"/>
        <v>8752.0999999999985</v>
      </c>
    </row>
    <row r="475" spans="1:14" x14ac:dyDescent="0.3">
      <c r="A475" s="21"/>
      <c r="B475" s="23"/>
      <c r="C475" s="22" t="s">
        <v>36</v>
      </c>
      <c r="D475" s="23"/>
      <c r="E475" s="28" t="s">
        <v>35</v>
      </c>
      <c r="F475" s="27">
        <f t="shared" si="68"/>
        <v>8606.5</v>
      </c>
      <c r="G475" s="27"/>
      <c r="H475" s="27">
        <f t="shared" si="68"/>
        <v>8606.5</v>
      </c>
      <c r="I475" s="27">
        <f t="shared" si="68"/>
        <v>8752.0999999999985</v>
      </c>
      <c r="J475" s="381"/>
      <c r="K475" s="27">
        <f t="shared" si="68"/>
        <v>8752.0999999999985</v>
      </c>
      <c r="L475" s="27">
        <f t="shared" si="68"/>
        <v>8752.0999999999985</v>
      </c>
      <c r="M475" s="27"/>
      <c r="N475" s="27">
        <f t="shared" si="68"/>
        <v>8752.0999999999985</v>
      </c>
    </row>
    <row r="476" spans="1:14" ht="26.4" x14ac:dyDescent="0.3">
      <c r="A476" s="54"/>
      <c r="B476" s="34"/>
      <c r="C476" s="35" t="s">
        <v>34</v>
      </c>
      <c r="D476" s="34"/>
      <c r="E476" s="33" t="s">
        <v>103</v>
      </c>
      <c r="F476" s="32">
        <f t="shared" si="68"/>
        <v>8606.5</v>
      </c>
      <c r="G476" s="32"/>
      <c r="H476" s="32">
        <f t="shared" si="68"/>
        <v>8606.5</v>
      </c>
      <c r="I476" s="32">
        <f t="shared" si="68"/>
        <v>8752.0999999999985</v>
      </c>
      <c r="J476" s="377"/>
      <c r="K476" s="32">
        <f t="shared" si="68"/>
        <v>8752.0999999999985</v>
      </c>
      <c r="L476" s="32">
        <f t="shared" si="68"/>
        <v>8752.0999999999985</v>
      </c>
      <c r="M476" s="32"/>
      <c r="N476" s="32">
        <f t="shared" si="68"/>
        <v>8752.0999999999985</v>
      </c>
    </row>
    <row r="477" spans="1:14" ht="27" x14ac:dyDescent="0.3">
      <c r="A477" s="31"/>
      <c r="B477" s="31"/>
      <c r="C477" s="31" t="s">
        <v>32</v>
      </c>
      <c r="D477" s="31"/>
      <c r="E477" s="83" t="s">
        <v>31</v>
      </c>
      <c r="F477" s="29">
        <f t="shared" si="68"/>
        <v>8606.5</v>
      </c>
      <c r="G477" s="29"/>
      <c r="H477" s="29">
        <f t="shared" si="68"/>
        <v>8606.5</v>
      </c>
      <c r="I477" s="29">
        <f t="shared" si="68"/>
        <v>8752.0999999999985</v>
      </c>
      <c r="J477" s="378"/>
      <c r="K477" s="29">
        <f t="shared" si="68"/>
        <v>8752.0999999999985</v>
      </c>
      <c r="L477" s="29">
        <f t="shared" si="68"/>
        <v>8752.0999999999985</v>
      </c>
      <c r="M477" s="29"/>
      <c r="N477" s="29">
        <f t="shared" si="68"/>
        <v>8752.0999999999985</v>
      </c>
    </row>
    <row r="478" spans="1:14" ht="40.200000000000003" x14ac:dyDescent="0.3">
      <c r="A478" s="223"/>
      <c r="B478" s="223"/>
      <c r="C478" s="223" t="s">
        <v>30</v>
      </c>
      <c r="D478" s="223"/>
      <c r="E478" s="224" t="s">
        <v>29</v>
      </c>
      <c r="F478" s="225">
        <f t="shared" si="68"/>
        <v>8606.5</v>
      </c>
      <c r="G478" s="225"/>
      <c r="H478" s="225">
        <f t="shared" si="68"/>
        <v>8606.5</v>
      </c>
      <c r="I478" s="225">
        <f t="shared" si="68"/>
        <v>8752.0999999999985</v>
      </c>
      <c r="J478" s="379"/>
      <c r="K478" s="225">
        <f t="shared" si="68"/>
        <v>8752.0999999999985</v>
      </c>
      <c r="L478" s="225">
        <f t="shared" si="68"/>
        <v>8752.0999999999985</v>
      </c>
      <c r="M478" s="225"/>
      <c r="N478" s="225">
        <f t="shared" si="68"/>
        <v>8752.0999999999985</v>
      </c>
    </row>
    <row r="479" spans="1:14" ht="27" x14ac:dyDescent="0.3">
      <c r="A479" s="8"/>
      <c r="B479" s="8"/>
      <c r="C479" s="7" t="s">
        <v>292</v>
      </c>
      <c r="D479" s="7"/>
      <c r="E479" s="64" t="s">
        <v>291</v>
      </c>
      <c r="F479" s="9">
        <f t="shared" si="68"/>
        <v>8606.5</v>
      </c>
      <c r="G479" s="9"/>
      <c r="H479" s="9">
        <f t="shared" si="68"/>
        <v>8606.5</v>
      </c>
      <c r="I479" s="9">
        <f t="shared" si="68"/>
        <v>8752.0999999999985</v>
      </c>
      <c r="J479" s="380"/>
      <c r="K479" s="9">
        <f t="shared" si="68"/>
        <v>8752.0999999999985</v>
      </c>
      <c r="L479" s="9">
        <f t="shared" si="68"/>
        <v>8752.0999999999985</v>
      </c>
      <c r="M479" s="9"/>
      <c r="N479" s="9">
        <f t="shared" si="68"/>
        <v>8752.0999999999985</v>
      </c>
    </row>
    <row r="480" spans="1:14" x14ac:dyDescent="0.3">
      <c r="A480" s="8"/>
      <c r="B480" s="8"/>
      <c r="C480" s="7"/>
      <c r="D480" s="7" t="s">
        <v>79</v>
      </c>
      <c r="E480" s="6" t="s">
        <v>78</v>
      </c>
      <c r="F480" s="9">
        <f>8666.7-60.2</f>
        <v>8606.5</v>
      </c>
      <c r="G480" s="9"/>
      <c r="H480" s="9">
        <f>8666.7-60.2</f>
        <v>8606.5</v>
      </c>
      <c r="I480" s="9">
        <f>8812.3-60.2</f>
        <v>8752.0999999999985</v>
      </c>
      <c r="J480" s="380"/>
      <c r="K480" s="9">
        <f>8812.3-60.2</f>
        <v>8752.0999999999985</v>
      </c>
      <c r="L480" s="9">
        <f>8812.3-60.2</f>
        <v>8752.0999999999985</v>
      </c>
      <c r="M480" s="9"/>
      <c r="N480" s="9">
        <f>8812.3-60.2</f>
        <v>8752.0999999999985</v>
      </c>
    </row>
    <row r="481" spans="1:14" x14ac:dyDescent="0.3">
      <c r="A481" s="21"/>
      <c r="B481" s="23" t="s">
        <v>290</v>
      </c>
      <c r="C481" s="22"/>
      <c r="D481" s="21"/>
      <c r="E481" s="20" t="s">
        <v>88</v>
      </c>
      <c r="F481" s="27">
        <f>F482</f>
        <v>1421.9</v>
      </c>
      <c r="G481" s="27"/>
      <c r="H481" s="27">
        <f>H482</f>
        <v>1421.9</v>
      </c>
      <c r="I481" s="27">
        <f>I482</f>
        <v>2860.0223999999998</v>
      </c>
      <c r="J481" s="381"/>
      <c r="K481" s="27">
        <f>K482</f>
        <v>2860.0223999999998</v>
      </c>
      <c r="L481" s="27">
        <f>L482</f>
        <v>3940.62556</v>
      </c>
      <c r="M481" s="27"/>
      <c r="N481" s="27">
        <f>N482</f>
        <v>3940.62556</v>
      </c>
    </row>
    <row r="482" spans="1:14" x14ac:dyDescent="0.3">
      <c r="A482" s="21"/>
      <c r="B482" s="23"/>
      <c r="C482" s="22" t="s">
        <v>36</v>
      </c>
      <c r="D482" s="23"/>
      <c r="E482" s="28" t="s">
        <v>35</v>
      </c>
      <c r="F482" s="27">
        <f>F483</f>
        <v>1421.9</v>
      </c>
      <c r="G482" s="27"/>
      <c r="H482" s="27">
        <f>H483</f>
        <v>1421.9</v>
      </c>
      <c r="I482" s="27">
        <f>I483+I487</f>
        <v>2860.0223999999998</v>
      </c>
      <c r="J482" s="381"/>
      <c r="K482" s="27">
        <f>K483+K487</f>
        <v>2860.0223999999998</v>
      </c>
      <c r="L482" s="27">
        <f>L483+L487</f>
        <v>3940.62556</v>
      </c>
      <c r="M482" s="27"/>
      <c r="N482" s="27">
        <f>N483+N487</f>
        <v>3940.62556</v>
      </c>
    </row>
    <row r="483" spans="1:14" ht="26.4" x14ac:dyDescent="0.3">
      <c r="A483" s="54"/>
      <c r="B483" s="34"/>
      <c r="C483" s="35" t="s">
        <v>289</v>
      </c>
      <c r="D483" s="34"/>
      <c r="E483" s="33" t="s">
        <v>288</v>
      </c>
      <c r="F483" s="32">
        <f>F484</f>
        <v>1421.9</v>
      </c>
      <c r="G483" s="32"/>
      <c r="H483" s="32">
        <f>H484</f>
        <v>1421.9</v>
      </c>
      <c r="I483" s="32">
        <f t="shared" ref="I483:N485" si="69">I484</f>
        <v>1421.9</v>
      </c>
      <c r="J483" s="377"/>
      <c r="K483" s="32">
        <f t="shared" si="69"/>
        <v>1421.9</v>
      </c>
      <c r="L483" s="32">
        <f t="shared" si="69"/>
        <v>1421.9</v>
      </c>
      <c r="M483" s="32"/>
      <c r="N483" s="32">
        <f t="shared" si="69"/>
        <v>1421.9</v>
      </c>
    </row>
    <row r="484" spans="1:14" ht="27" x14ac:dyDescent="0.3">
      <c r="A484" s="223"/>
      <c r="B484" s="223"/>
      <c r="C484" s="223" t="s">
        <v>287</v>
      </c>
      <c r="D484" s="223"/>
      <c r="E484" s="224" t="s">
        <v>286</v>
      </c>
      <c r="F484" s="225">
        <f>F485</f>
        <v>1421.9</v>
      </c>
      <c r="G484" s="225"/>
      <c r="H484" s="225">
        <f>H485</f>
        <v>1421.9</v>
      </c>
      <c r="I484" s="225">
        <f t="shared" si="69"/>
        <v>1421.9</v>
      </c>
      <c r="J484" s="379"/>
      <c r="K484" s="225">
        <f t="shared" si="69"/>
        <v>1421.9</v>
      </c>
      <c r="L484" s="225">
        <f t="shared" si="69"/>
        <v>1421.9</v>
      </c>
      <c r="M484" s="225"/>
      <c r="N484" s="225">
        <f t="shared" si="69"/>
        <v>1421.9</v>
      </c>
    </row>
    <row r="485" spans="1:14" ht="27" x14ac:dyDescent="0.3">
      <c r="A485" s="8"/>
      <c r="B485" s="8"/>
      <c r="C485" s="7" t="s">
        <v>285</v>
      </c>
      <c r="D485" s="7"/>
      <c r="E485" s="82" t="s">
        <v>284</v>
      </c>
      <c r="F485" s="9">
        <f>F486</f>
        <v>1421.9</v>
      </c>
      <c r="G485" s="9"/>
      <c r="H485" s="9">
        <f>H486</f>
        <v>1421.9</v>
      </c>
      <c r="I485" s="9">
        <f t="shared" si="69"/>
        <v>1421.9</v>
      </c>
      <c r="J485" s="380"/>
      <c r="K485" s="9">
        <f t="shared" si="69"/>
        <v>1421.9</v>
      </c>
      <c r="L485" s="9">
        <f t="shared" si="69"/>
        <v>1421.9</v>
      </c>
      <c r="M485" s="9"/>
      <c r="N485" s="9">
        <f t="shared" si="69"/>
        <v>1421.9</v>
      </c>
    </row>
    <row r="486" spans="1:14" x14ac:dyDescent="0.3">
      <c r="A486" s="8"/>
      <c r="B486" s="8"/>
      <c r="C486" s="7"/>
      <c r="D486" s="7" t="s">
        <v>79</v>
      </c>
      <c r="E486" s="6" t="s">
        <v>78</v>
      </c>
      <c r="F486" s="9">
        <v>1421.9</v>
      </c>
      <c r="G486" s="9"/>
      <c r="H486" s="9">
        <v>1421.9</v>
      </c>
      <c r="I486" s="9">
        <v>1421.9</v>
      </c>
      <c r="J486" s="380"/>
      <c r="K486" s="9">
        <v>1421.9</v>
      </c>
      <c r="L486" s="9">
        <v>1421.9</v>
      </c>
      <c r="M486" s="9"/>
      <c r="N486" s="9">
        <v>1421.9</v>
      </c>
    </row>
    <row r="487" spans="1:14" ht="40.200000000000003" x14ac:dyDescent="0.3">
      <c r="A487" s="54"/>
      <c r="B487" s="34"/>
      <c r="C487" s="242" t="s">
        <v>376</v>
      </c>
      <c r="D487" s="246"/>
      <c r="E487" s="245" t="s">
        <v>659</v>
      </c>
      <c r="F487" s="97">
        <f>F488</f>
        <v>0</v>
      </c>
      <c r="G487" s="97"/>
      <c r="H487" s="97">
        <f>H488</f>
        <v>0</v>
      </c>
      <c r="I487" s="97">
        <f t="shared" ref="I487:N490" si="70">I488</f>
        <v>1438.1224</v>
      </c>
      <c r="J487" s="396"/>
      <c r="K487" s="97">
        <f t="shared" si="70"/>
        <v>1438.1224</v>
      </c>
      <c r="L487" s="97">
        <f t="shared" si="70"/>
        <v>2518.7255599999999</v>
      </c>
      <c r="M487" s="97"/>
      <c r="N487" s="97">
        <f t="shared" si="70"/>
        <v>2518.7255599999999</v>
      </c>
    </row>
    <row r="488" spans="1:14" ht="40.200000000000003" x14ac:dyDescent="0.3">
      <c r="A488" s="223"/>
      <c r="B488" s="223"/>
      <c r="C488" s="223" t="s">
        <v>807</v>
      </c>
      <c r="D488" s="231"/>
      <c r="E488" s="224" t="s">
        <v>371</v>
      </c>
      <c r="F488" s="225">
        <f>F489</f>
        <v>0</v>
      </c>
      <c r="G488" s="225"/>
      <c r="H488" s="225">
        <f>H489</f>
        <v>0</v>
      </c>
      <c r="I488" s="225">
        <f t="shared" si="70"/>
        <v>1438.1224</v>
      </c>
      <c r="J488" s="379"/>
      <c r="K488" s="225">
        <f t="shared" si="70"/>
        <v>1438.1224</v>
      </c>
      <c r="L488" s="225">
        <f t="shared" si="70"/>
        <v>2518.7255599999999</v>
      </c>
      <c r="M488" s="225"/>
      <c r="N488" s="225">
        <f t="shared" si="70"/>
        <v>2518.7255599999999</v>
      </c>
    </row>
    <row r="489" spans="1:14" ht="27" x14ac:dyDescent="0.3">
      <c r="A489" s="8"/>
      <c r="B489" s="8"/>
      <c r="C489" s="205" t="s">
        <v>619</v>
      </c>
      <c r="D489" s="205"/>
      <c r="E489" s="206" t="s">
        <v>808</v>
      </c>
      <c r="F489" s="9">
        <f>F490</f>
        <v>0</v>
      </c>
      <c r="G489" s="9"/>
      <c r="H489" s="9">
        <f>H490</f>
        <v>0</v>
      </c>
      <c r="I489" s="9">
        <f t="shared" si="70"/>
        <v>1438.1224</v>
      </c>
      <c r="J489" s="380"/>
      <c r="K489" s="9">
        <f t="shared" si="70"/>
        <v>1438.1224</v>
      </c>
      <c r="L489" s="9">
        <f t="shared" si="70"/>
        <v>2518.7255599999999</v>
      </c>
      <c r="M489" s="9"/>
      <c r="N489" s="9">
        <f t="shared" si="70"/>
        <v>2518.7255599999999</v>
      </c>
    </row>
    <row r="490" spans="1:14" x14ac:dyDescent="0.3">
      <c r="A490" s="8"/>
      <c r="B490" s="8"/>
      <c r="C490" s="205"/>
      <c r="D490" s="205">
        <v>300</v>
      </c>
      <c r="E490" s="6" t="s">
        <v>78</v>
      </c>
      <c r="F490" s="9">
        <v>0</v>
      </c>
      <c r="G490" s="9"/>
      <c r="H490" s="9">
        <v>0</v>
      </c>
      <c r="I490" s="9">
        <f t="shared" si="70"/>
        <v>1438.1224</v>
      </c>
      <c r="J490" s="380"/>
      <c r="K490" s="9">
        <f t="shared" si="70"/>
        <v>1438.1224</v>
      </c>
      <c r="L490" s="9">
        <f t="shared" si="70"/>
        <v>2518.7255599999999</v>
      </c>
      <c r="M490" s="9"/>
      <c r="N490" s="9">
        <f t="shared" si="70"/>
        <v>2518.7255599999999</v>
      </c>
    </row>
    <row r="491" spans="1:14" x14ac:dyDescent="0.3">
      <c r="A491" s="8"/>
      <c r="B491" s="8"/>
      <c r="C491" s="7"/>
      <c r="D491" s="7"/>
      <c r="E491" s="206" t="s">
        <v>662</v>
      </c>
      <c r="F491" s="9">
        <v>0</v>
      </c>
      <c r="G491" s="9"/>
      <c r="H491" s="9">
        <v>0</v>
      </c>
      <c r="I491" s="281">
        <v>1438.1224</v>
      </c>
      <c r="J491" s="389"/>
      <c r="K491" s="281">
        <v>1438.1224</v>
      </c>
      <c r="L491" s="281">
        <v>2518.7255599999999</v>
      </c>
      <c r="M491" s="281"/>
      <c r="N491" s="281">
        <v>2518.7255599999999</v>
      </c>
    </row>
    <row r="492" spans="1:14" x14ac:dyDescent="0.3">
      <c r="A492" s="8"/>
      <c r="B492" s="23">
        <v>1004</v>
      </c>
      <c r="C492" s="22"/>
      <c r="D492" s="21"/>
      <c r="E492" s="20" t="s">
        <v>179</v>
      </c>
      <c r="F492" s="27">
        <f t="shared" ref="F492:N493" si="71">F493</f>
        <v>6564.2340000000004</v>
      </c>
      <c r="G492" s="27">
        <f t="shared" si="71"/>
        <v>0</v>
      </c>
      <c r="H492" s="27">
        <f t="shared" si="71"/>
        <v>6564.2340000000004</v>
      </c>
      <c r="I492" s="27">
        <f t="shared" si="71"/>
        <v>14906.261</v>
      </c>
      <c r="J492" s="381"/>
      <c r="K492" s="27">
        <f t="shared" si="71"/>
        <v>14906.261</v>
      </c>
      <c r="L492" s="27">
        <f t="shared" si="71"/>
        <v>7431.1</v>
      </c>
      <c r="M492" s="27"/>
      <c r="N492" s="27">
        <f t="shared" si="71"/>
        <v>7431.1</v>
      </c>
    </row>
    <row r="493" spans="1:14" x14ac:dyDescent="0.3">
      <c r="A493" s="8"/>
      <c r="B493" s="23"/>
      <c r="C493" s="22" t="s">
        <v>36</v>
      </c>
      <c r="D493" s="23"/>
      <c r="E493" s="28" t="s">
        <v>178</v>
      </c>
      <c r="F493" s="27">
        <f t="shared" si="71"/>
        <v>6564.2340000000004</v>
      </c>
      <c r="G493" s="27">
        <f t="shared" si="71"/>
        <v>0</v>
      </c>
      <c r="H493" s="27">
        <f t="shared" si="71"/>
        <v>6564.2340000000004</v>
      </c>
      <c r="I493" s="27">
        <f t="shared" si="71"/>
        <v>14906.261</v>
      </c>
      <c r="J493" s="381"/>
      <c r="K493" s="27">
        <f t="shared" si="71"/>
        <v>14906.261</v>
      </c>
      <c r="L493" s="27">
        <f t="shared" si="71"/>
        <v>7431.1</v>
      </c>
      <c r="M493" s="27"/>
      <c r="N493" s="27">
        <f t="shared" si="71"/>
        <v>7431.1</v>
      </c>
    </row>
    <row r="494" spans="1:14" ht="26.4" x14ac:dyDescent="0.3">
      <c r="A494" s="54"/>
      <c r="B494" s="34"/>
      <c r="C494" s="35" t="s">
        <v>272</v>
      </c>
      <c r="D494" s="34"/>
      <c r="E494" s="33" t="s">
        <v>271</v>
      </c>
      <c r="F494" s="32">
        <f>F495+F503</f>
        <v>6564.2340000000004</v>
      </c>
      <c r="G494" s="32">
        <f>G495+G503</f>
        <v>0</v>
      </c>
      <c r="H494" s="32">
        <f>H495+H503</f>
        <v>6564.2340000000004</v>
      </c>
      <c r="I494" s="32">
        <f>I495+I503</f>
        <v>14906.261</v>
      </c>
      <c r="J494" s="377"/>
      <c r="K494" s="32">
        <f>K495+K503</f>
        <v>14906.261</v>
      </c>
      <c r="L494" s="32">
        <f>L495+L503</f>
        <v>7431.1</v>
      </c>
      <c r="M494" s="32"/>
      <c r="N494" s="32">
        <f>N495+N503</f>
        <v>7431.1</v>
      </c>
    </row>
    <row r="495" spans="1:14" x14ac:dyDescent="0.3">
      <c r="A495" s="223"/>
      <c r="B495" s="223"/>
      <c r="C495" s="223" t="s">
        <v>283</v>
      </c>
      <c r="D495" s="223"/>
      <c r="E495" s="224" t="s">
        <v>282</v>
      </c>
      <c r="F495" s="225">
        <f>F498+F496</f>
        <v>6564.2340000000004</v>
      </c>
      <c r="G495" s="225">
        <f>G498+G496</f>
        <v>0</v>
      </c>
      <c r="H495" s="225">
        <f>H498+H496</f>
        <v>6564.2340000000004</v>
      </c>
      <c r="I495" s="225">
        <f>I498+I496</f>
        <v>7475.1610000000001</v>
      </c>
      <c r="J495" s="379"/>
      <c r="K495" s="225">
        <f>K498+K496</f>
        <v>7475.1610000000001</v>
      </c>
      <c r="L495" s="225">
        <f>L498+L496</f>
        <v>0</v>
      </c>
      <c r="M495" s="225"/>
      <c r="N495" s="225">
        <f>N498+N496</f>
        <v>0</v>
      </c>
    </row>
    <row r="496" spans="1:14" s="24" customFormat="1" x14ac:dyDescent="0.3">
      <c r="A496" s="61"/>
      <c r="B496" s="61"/>
      <c r="C496" s="7" t="s">
        <v>281</v>
      </c>
      <c r="D496" s="7"/>
      <c r="E496" s="317" t="s">
        <v>842</v>
      </c>
      <c r="F496" s="9">
        <f>F497</f>
        <v>5012.1400000000003</v>
      </c>
      <c r="G496" s="9"/>
      <c r="H496" s="9">
        <f>H497</f>
        <v>5012.1400000000003</v>
      </c>
      <c r="I496" s="9">
        <f>I497</f>
        <v>5060.3379999999997</v>
      </c>
      <c r="J496" s="380"/>
      <c r="K496" s="9">
        <f>K497</f>
        <v>5060.3379999999997</v>
      </c>
      <c r="L496" s="9">
        <f>L497</f>
        <v>0</v>
      </c>
      <c r="M496" s="9"/>
      <c r="N496" s="9">
        <f>N497</f>
        <v>0</v>
      </c>
    </row>
    <row r="497" spans="1:14" s="24" customFormat="1" x14ac:dyDescent="0.3">
      <c r="A497" s="61"/>
      <c r="B497" s="61"/>
      <c r="C497" s="7"/>
      <c r="D497" s="7" t="s">
        <v>79</v>
      </c>
      <c r="E497" s="6" t="s">
        <v>78</v>
      </c>
      <c r="F497" s="9">
        <v>5012.1400000000003</v>
      </c>
      <c r="G497" s="9"/>
      <c r="H497" s="9">
        <v>5012.1400000000003</v>
      </c>
      <c r="I497" s="9">
        <v>5060.3379999999997</v>
      </c>
      <c r="J497" s="380"/>
      <c r="K497" s="9">
        <v>5060.3379999999997</v>
      </c>
      <c r="L497" s="9">
        <v>0</v>
      </c>
      <c r="M497" s="9"/>
      <c r="N497" s="9">
        <v>0</v>
      </c>
    </row>
    <row r="498" spans="1:14" ht="40.200000000000003" x14ac:dyDescent="0.3">
      <c r="A498" s="7"/>
      <c r="B498" s="7"/>
      <c r="C498" s="7" t="s">
        <v>280</v>
      </c>
      <c r="D498" s="7"/>
      <c r="E498" s="12" t="s">
        <v>279</v>
      </c>
      <c r="F498" s="9">
        <f>F499</f>
        <v>1552.0940000000001</v>
      </c>
      <c r="G498" s="9"/>
      <c r="H498" s="9">
        <f>H499</f>
        <v>1552.0939999999998</v>
      </c>
      <c r="I498" s="9">
        <f>I499</f>
        <v>2414.8230000000003</v>
      </c>
      <c r="J498" s="380"/>
      <c r="K498" s="9">
        <f>K499</f>
        <v>2414.8230000000003</v>
      </c>
      <c r="L498" s="9">
        <f>L499</f>
        <v>0</v>
      </c>
      <c r="M498" s="9"/>
      <c r="N498" s="9">
        <f>N499</f>
        <v>0</v>
      </c>
    </row>
    <row r="499" spans="1:14" x14ac:dyDescent="0.3">
      <c r="A499" s="7"/>
      <c r="B499" s="7"/>
      <c r="C499" s="7"/>
      <c r="D499" s="7" t="s">
        <v>79</v>
      </c>
      <c r="E499" s="6" t="s">
        <v>78</v>
      </c>
      <c r="F499" s="9">
        <f>F502</f>
        <v>1552.0940000000001</v>
      </c>
      <c r="G499" s="9"/>
      <c r="H499" s="9">
        <f>H502</f>
        <v>1552.0939999999998</v>
      </c>
      <c r="I499" s="9">
        <f>I500+I501+I502</f>
        <v>2414.8230000000003</v>
      </c>
      <c r="J499" s="380"/>
      <c r="K499" s="9">
        <f>K500+K501+K502</f>
        <v>2414.8230000000003</v>
      </c>
      <c r="L499" s="9">
        <f>L502</f>
        <v>0</v>
      </c>
      <c r="M499" s="9"/>
      <c r="N499" s="9">
        <f>N502</f>
        <v>0</v>
      </c>
    </row>
    <row r="500" spans="1:14" x14ac:dyDescent="0.3">
      <c r="A500" s="7"/>
      <c r="B500" s="7"/>
      <c r="C500" s="7"/>
      <c r="D500" s="7"/>
      <c r="E500" s="6" t="s">
        <v>115</v>
      </c>
      <c r="F500" s="9">
        <v>0</v>
      </c>
      <c r="G500" s="9"/>
      <c r="H500" s="9">
        <v>0</v>
      </c>
      <c r="I500" s="9">
        <v>1094.8900000000001</v>
      </c>
      <c r="J500" s="380"/>
      <c r="K500" s="9">
        <v>1094.8900000000001</v>
      </c>
      <c r="L500" s="9">
        <v>0</v>
      </c>
      <c r="M500" s="9"/>
      <c r="N500" s="9">
        <v>0</v>
      </c>
    </row>
    <row r="501" spans="1:14" x14ac:dyDescent="0.3">
      <c r="A501" s="7"/>
      <c r="B501" s="7"/>
      <c r="C501" s="7"/>
      <c r="D501" s="7"/>
      <c r="E501" s="6" t="s">
        <v>114</v>
      </c>
      <c r="F501" s="9">
        <v>0</v>
      </c>
      <c r="G501" s="9"/>
      <c r="H501" s="9">
        <v>0</v>
      </c>
      <c r="I501" s="9">
        <v>327.04500000000002</v>
      </c>
      <c r="J501" s="380"/>
      <c r="K501" s="9">
        <v>327.04500000000002</v>
      </c>
      <c r="L501" s="9">
        <v>0</v>
      </c>
      <c r="M501" s="9"/>
      <c r="N501" s="9">
        <v>0</v>
      </c>
    </row>
    <row r="502" spans="1:14" x14ac:dyDescent="0.3">
      <c r="A502" s="7"/>
      <c r="B502" s="7"/>
      <c r="C502" s="7"/>
      <c r="D502" s="7"/>
      <c r="E502" s="6" t="s">
        <v>106</v>
      </c>
      <c r="F502" s="9">
        <v>1552.0940000000001</v>
      </c>
      <c r="G502" s="9"/>
      <c r="H502" s="9">
        <f>1424.494+127.6</f>
        <v>1552.0939999999998</v>
      </c>
      <c r="I502" s="9">
        <v>992.88800000000003</v>
      </c>
      <c r="J502" s="380"/>
      <c r="K502" s="9">
        <v>992.88800000000003</v>
      </c>
      <c r="L502" s="9">
        <v>0</v>
      </c>
      <c r="M502" s="9"/>
      <c r="N502" s="9">
        <v>0</v>
      </c>
    </row>
    <row r="503" spans="1:14" ht="40.200000000000003" x14ac:dyDescent="0.3">
      <c r="A503" s="223"/>
      <c r="B503" s="223"/>
      <c r="C503" s="223" t="s">
        <v>270</v>
      </c>
      <c r="D503" s="223"/>
      <c r="E503" s="224" t="s">
        <v>269</v>
      </c>
      <c r="F503" s="225">
        <f t="shared" ref="F503:N504" si="72">F504</f>
        <v>0</v>
      </c>
      <c r="G503" s="225"/>
      <c r="H503" s="225">
        <f t="shared" si="72"/>
        <v>0</v>
      </c>
      <c r="I503" s="225">
        <f t="shared" si="72"/>
        <v>7431.1</v>
      </c>
      <c r="J503" s="379"/>
      <c r="K503" s="225">
        <f t="shared" si="72"/>
        <v>7431.1</v>
      </c>
      <c r="L503" s="225">
        <f t="shared" si="72"/>
        <v>7431.1</v>
      </c>
      <c r="M503" s="225"/>
      <c r="N503" s="225">
        <f t="shared" si="72"/>
        <v>7431.1</v>
      </c>
    </row>
    <row r="504" spans="1:14" ht="57" customHeight="1" x14ac:dyDescent="0.3">
      <c r="A504" s="8"/>
      <c r="B504" s="8"/>
      <c r="C504" s="7" t="s">
        <v>278</v>
      </c>
      <c r="D504" s="7"/>
      <c r="E504" s="81" t="s">
        <v>277</v>
      </c>
      <c r="F504" s="9">
        <f t="shared" si="72"/>
        <v>0</v>
      </c>
      <c r="G504" s="9"/>
      <c r="H504" s="9">
        <f t="shared" si="72"/>
        <v>0</v>
      </c>
      <c r="I504" s="9">
        <f t="shared" si="72"/>
        <v>7431.1</v>
      </c>
      <c r="J504" s="380"/>
      <c r="K504" s="9">
        <f t="shared" si="72"/>
        <v>7431.1</v>
      </c>
      <c r="L504" s="9">
        <f t="shared" si="72"/>
        <v>7431.1</v>
      </c>
      <c r="M504" s="9"/>
      <c r="N504" s="9">
        <f t="shared" si="72"/>
        <v>7431.1</v>
      </c>
    </row>
    <row r="505" spans="1:14" ht="27" x14ac:dyDescent="0.3">
      <c r="A505" s="8"/>
      <c r="B505" s="8"/>
      <c r="C505" s="7"/>
      <c r="D505" s="7" t="s">
        <v>276</v>
      </c>
      <c r="E505" s="6" t="s">
        <v>275</v>
      </c>
      <c r="F505" s="5">
        <v>0</v>
      </c>
      <c r="G505" s="5"/>
      <c r="H505" s="5">
        <v>0</v>
      </c>
      <c r="I505" s="5">
        <v>7431.1</v>
      </c>
      <c r="J505" s="382"/>
      <c r="K505" s="5">
        <v>7431.1</v>
      </c>
      <c r="L505" s="5">
        <v>7431.1</v>
      </c>
      <c r="M505" s="5"/>
      <c r="N505" s="5">
        <v>7431.1</v>
      </c>
    </row>
    <row r="506" spans="1:14" x14ac:dyDescent="0.3">
      <c r="A506" s="8"/>
      <c r="B506" s="23" t="s">
        <v>274</v>
      </c>
      <c r="C506" s="22"/>
      <c r="D506" s="21"/>
      <c r="E506" s="20" t="s">
        <v>273</v>
      </c>
      <c r="F506" s="27">
        <f t="shared" ref="F506:N510" si="73">F507</f>
        <v>93</v>
      </c>
      <c r="G506" s="27"/>
      <c r="H506" s="27">
        <f t="shared" si="73"/>
        <v>93</v>
      </c>
      <c r="I506" s="27">
        <f t="shared" si="73"/>
        <v>101.3</v>
      </c>
      <c r="J506" s="381"/>
      <c r="K506" s="27">
        <f t="shared" si="73"/>
        <v>101.3</v>
      </c>
      <c r="L506" s="27">
        <f t="shared" si="73"/>
        <v>110.1</v>
      </c>
      <c r="M506" s="27"/>
      <c r="N506" s="27">
        <f t="shared" si="73"/>
        <v>110.1</v>
      </c>
    </row>
    <row r="507" spans="1:14" x14ac:dyDescent="0.3">
      <c r="A507" s="8"/>
      <c r="B507" s="23"/>
      <c r="C507" s="22" t="s">
        <v>36</v>
      </c>
      <c r="D507" s="23"/>
      <c r="E507" s="28" t="s">
        <v>178</v>
      </c>
      <c r="F507" s="27">
        <f t="shared" si="73"/>
        <v>93</v>
      </c>
      <c r="G507" s="27"/>
      <c r="H507" s="27">
        <f t="shared" si="73"/>
        <v>93</v>
      </c>
      <c r="I507" s="27">
        <f t="shared" si="73"/>
        <v>101.3</v>
      </c>
      <c r="J507" s="381"/>
      <c r="K507" s="27">
        <f t="shared" si="73"/>
        <v>101.3</v>
      </c>
      <c r="L507" s="27">
        <f t="shared" si="73"/>
        <v>110.1</v>
      </c>
      <c r="M507" s="27"/>
      <c r="N507" s="27">
        <f t="shared" si="73"/>
        <v>110.1</v>
      </c>
    </row>
    <row r="508" spans="1:14" ht="26.4" x14ac:dyDescent="0.3">
      <c r="A508" s="54"/>
      <c r="B508" s="34"/>
      <c r="C508" s="35" t="s">
        <v>272</v>
      </c>
      <c r="D508" s="34"/>
      <c r="E508" s="33" t="s">
        <v>271</v>
      </c>
      <c r="F508" s="32">
        <f t="shared" si="73"/>
        <v>93</v>
      </c>
      <c r="G508" s="32"/>
      <c r="H508" s="32">
        <f t="shared" si="73"/>
        <v>93</v>
      </c>
      <c r="I508" s="32">
        <f t="shared" si="73"/>
        <v>101.3</v>
      </c>
      <c r="J508" s="377"/>
      <c r="K508" s="32">
        <f t="shared" si="73"/>
        <v>101.3</v>
      </c>
      <c r="L508" s="32">
        <f t="shared" si="73"/>
        <v>110.1</v>
      </c>
      <c r="M508" s="32"/>
      <c r="N508" s="32">
        <f t="shared" si="73"/>
        <v>110.1</v>
      </c>
    </row>
    <row r="509" spans="1:14" ht="40.200000000000003" x14ac:dyDescent="0.3">
      <c r="A509" s="223"/>
      <c r="B509" s="223"/>
      <c r="C509" s="223" t="s">
        <v>270</v>
      </c>
      <c r="D509" s="223"/>
      <c r="E509" s="224" t="s">
        <v>269</v>
      </c>
      <c r="F509" s="225">
        <f t="shared" si="73"/>
        <v>93</v>
      </c>
      <c r="G509" s="225"/>
      <c r="H509" s="225">
        <f t="shared" si="73"/>
        <v>93</v>
      </c>
      <c r="I509" s="225">
        <f t="shared" si="73"/>
        <v>101.3</v>
      </c>
      <c r="J509" s="379"/>
      <c r="K509" s="225">
        <f t="shared" si="73"/>
        <v>101.3</v>
      </c>
      <c r="L509" s="225">
        <f t="shared" si="73"/>
        <v>110.1</v>
      </c>
      <c r="M509" s="225"/>
      <c r="N509" s="225">
        <f t="shared" si="73"/>
        <v>110.1</v>
      </c>
    </row>
    <row r="510" spans="1:14" ht="27" x14ac:dyDescent="0.3">
      <c r="A510" s="8"/>
      <c r="B510" s="8"/>
      <c r="C510" s="7" t="s">
        <v>268</v>
      </c>
      <c r="D510" s="7"/>
      <c r="E510" s="6" t="s">
        <v>267</v>
      </c>
      <c r="F510" s="9">
        <f t="shared" si="73"/>
        <v>93</v>
      </c>
      <c r="G510" s="9"/>
      <c r="H510" s="9">
        <f t="shared" si="73"/>
        <v>93</v>
      </c>
      <c r="I510" s="9">
        <f t="shared" si="73"/>
        <v>101.3</v>
      </c>
      <c r="J510" s="380"/>
      <c r="K510" s="9">
        <f t="shared" si="73"/>
        <v>101.3</v>
      </c>
      <c r="L510" s="9">
        <f t="shared" si="73"/>
        <v>110.1</v>
      </c>
      <c r="M510" s="9"/>
      <c r="N510" s="9">
        <f t="shared" si="73"/>
        <v>110.1</v>
      </c>
    </row>
    <row r="511" spans="1:14" x14ac:dyDescent="0.3">
      <c r="A511" s="8"/>
      <c r="B511" s="8"/>
      <c r="C511" s="7"/>
      <c r="D511" s="7" t="s">
        <v>12</v>
      </c>
      <c r="E511" s="6" t="s">
        <v>11</v>
      </c>
      <c r="F511" s="9">
        <v>93</v>
      </c>
      <c r="G511" s="9"/>
      <c r="H511" s="9">
        <v>93</v>
      </c>
      <c r="I511" s="9">
        <v>101.3</v>
      </c>
      <c r="J511" s="380"/>
      <c r="K511" s="9">
        <v>101.3</v>
      </c>
      <c r="L511" s="9">
        <v>110.1</v>
      </c>
      <c r="M511" s="9"/>
      <c r="N511" s="9">
        <v>110.1</v>
      </c>
    </row>
    <row r="512" spans="1:14" ht="26.4" x14ac:dyDescent="0.3">
      <c r="A512" s="40">
        <v>611</v>
      </c>
      <c r="B512" s="42"/>
      <c r="C512" s="41"/>
      <c r="D512" s="40"/>
      <c r="E512" s="39" t="s">
        <v>266</v>
      </c>
      <c r="F512" s="80">
        <f t="shared" ref="F512:N512" si="74">F513+F656+F686</f>
        <v>591804.98817000003</v>
      </c>
      <c r="G512" s="80">
        <f t="shared" si="74"/>
        <v>1082.4000000000058</v>
      </c>
      <c r="H512" s="80">
        <f t="shared" si="74"/>
        <v>592887.38817000005</v>
      </c>
      <c r="I512" s="80">
        <f t="shared" si="74"/>
        <v>495350.8861</v>
      </c>
      <c r="J512" s="80">
        <f t="shared" si="74"/>
        <v>1422.3</v>
      </c>
      <c r="K512" s="80">
        <f t="shared" si="74"/>
        <v>496773.18609999993</v>
      </c>
      <c r="L512" s="80">
        <f t="shared" si="74"/>
        <v>496755.15705999988</v>
      </c>
      <c r="M512" s="80">
        <f t="shared" si="74"/>
        <v>7500</v>
      </c>
      <c r="N512" s="80">
        <f t="shared" si="74"/>
        <v>504255.15705999988</v>
      </c>
    </row>
    <row r="513" spans="1:14" x14ac:dyDescent="0.3">
      <c r="A513" s="37"/>
      <c r="B513" s="23" t="s">
        <v>162</v>
      </c>
      <c r="C513" s="22"/>
      <c r="D513" s="21"/>
      <c r="E513" s="20" t="s">
        <v>161</v>
      </c>
      <c r="F513" s="27">
        <f t="shared" ref="F513:N513" si="75">F514+F534+F606+F615</f>
        <v>559847.66307000001</v>
      </c>
      <c r="G513" s="27">
        <f t="shared" si="75"/>
        <v>1082.4000000000058</v>
      </c>
      <c r="H513" s="27">
        <f t="shared" si="75"/>
        <v>560930.06307000003</v>
      </c>
      <c r="I513" s="27">
        <f t="shared" si="75"/>
        <v>464368.89010000002</v>
      </c>
      <c r="J513" s="27">
        <f t="shared" si="75"/>
        <v>1422.3</v>
      </c>
      <c r="K513" s="27">
        <f t="shared" si="75"/>
        <v>465791.19009999995</v>
      </c>
      <c r="L513" s="27">
        <f t="shared" si="75"/>
        <v>453437.31819999992</v>
      </c>
      <c r="M513" s="27">
        <f t="shared" si="75"/>
        <v>7500</v>
      </c>
      <c r="N513" s="27">
        <f t="shared" si="75"/>
        <v>460937.31819999992</v>
      </c>
    </row>
    <row r="514" spans="1:14" x14ac:dyDescent="0.3">
      <c r="A514" s="37"/>
      <c r="B514" s="23" t="s">
        <v>265</v>
      </c>
      <c r="C514" s="22"/>
      <c r="D514" s="21"/>
      <c r="E514" s="20" t="s">
        <v>264</v>
      </c>
      <c r="F514" s="27">
        <f t="shared" ref="F514:N515" si="76">F515</f>
        <v>124442.72779999999</v>
      </c>
      <c r="G514" s="27"/>
      <c r="H514" s="27">
        <f t="shared" si="76"/>
        <v>124442.72779999999</v>
      </c>
      <c r="I514" s="27">
        <f t="shared" si="76"/>
        <v>119378.8412</v>
      </c>
      <c r="J514" s="381"/>
      <c r="K514" s="27">
        <f t="shared" si="76"/>
        <v>119378.8412</v>
      </c>
      <c r="L514" s="27">
        <f t="shared" si="76"/>
        <v>117483.3027</v>
      </c>
      <c r="M514" s="27"/>
      <c r="N514" s="27">
        <f t="shared" si="76"/>
        <v>117483.3027</v>
      </c>
    </row>
    <row r="515" spans="1:14" s="78" customFormat="1" x14ac:dyDescent="0.3">
      <c r="A515" s="21"/>
      <c r="B515" s="23"/>
      <c r="C515" s="22" t="s">
        <v>36</v>
      </c>
      <c r="D515" s="21"/>
      <c r="E515" s="28" t="s">
        <v>178</v>
      </c>
      <c r="F515" s="27">
        <f t="shared" si="76"/>
        <v>124442.72779999999</v>
      </c>
      <c r="G515" s="27"/>
      <c r="H515" s="27">
        <f t="shared" si="76"/>
        <v>124442.72779999999</v>
      </c>
      <c r="I515" s="27">
        <f t="shared" si="76"/>
        <v>119378.8412</v>
      </c>
      <c r="J515" s="381"/>
      <c r="K515" s="27">
        <f t="shared" si="76"/>
        <v>119378.8412</v>
      </c>
      <c r="L515" s="27">
        <f t="shared" si="76"/>
        <v>117483.3027</v>
      </c>
      <c r="M515" s="27"/>
      <c r="N515" s="27">
        <f t="shared" si="76"/>
        <v>117483.3027</v>
      </c>
    </row>
    <row r="516" spans="1:14" ht="26.4" x14ac:dyDescent="0.3">
      <c r="A516" s="54"/>
      <c r="B516" s="34"/>
      <c r="C516" s="35" t="s">
        <v>87</v>
      </c>
      <c r="D516" s="34"/>
      <c r="E516" s="33" t="s">
        <v>227</v>
      </c>
      <c r="F516" s="32">
        <f>F517+F530</f>
        <v>124442.72779999999</v>
      </c>
      <c r="G516" s="32"/>
      <c r="H516" s="32">
        <f>H517+H530</f>
        <v>124442.72779999999</v>
      </c>
      <c r="I516" s="32">
        <f>I517+I530</f>
        <v>119378.8412</v>
      </c>
      <c r="J516" s="377"/>
      <c r="K516" s="32">
        <f>K517+K530</f>
        <v>119378.8412</v>
      </c>
      <c r="L516" s="32">
        <f>L517+L530</f>
        <v>117483.3027</v>
      </c>
      <c r="M516" s="32"/>
      <c r="N516" s="32">
        <f>N517+N530</f>
        <v>117483.3027</v>
      </c>
    </row>
    <row r="517" spans="1:14" x14ac:dyDescent="0.3">
      <c r="A517" s="31"/>
      <c r="B517" s="31"/>
      <c r="C517" s="31" t="s">
        <v>177</v>
      </c>
      <c r="D517" s="31"/>
      <c r="E517" s="52" t="s">
        <v>176</v>
      </c>
      <c r="F517" s="29">
        <f>F518</f>
        <v>123659.1394</v>
      </c>
      <c r="G517" s="29"/>
      <c r="H517" s="29">
        <f>H518</f>
        <v>123659.1394</v>
      </c>
      <c r="I517" s="29">
        <f>I518</f>
        <v>118516.894</v>
      </c>
      <c r="J517" s="378"/>
      <c r="K517" s="29">
        <f>K518</f>
        <v>118516.894</v>
      </c>
      <c r="L517" s="29">
        <f>L518</f>
        <v>116542.9966</v>
      </c>
      <c r="M517" s="29"/>
      <c r="N517" s="29">
        <f>N518</f>
        <v>116542.9966</v>
      </c>
    </row>
    <row r="518" spans="1:14" ht="27" x14ac:dyDescent="0.3">
      <c r="A518" s="223"/>
      <c r="B518" s="223"/>
      <c r="C518" s="223" t="s">
        <v>175</v>
      </c>
      <c r="D518" s="223"/>
      <c r="E518" s="224" t="s">
        <v>193</v>
      </c>
      <c r="F518" s="225">
        <f>F519+F521+F524+F526</f>
        <v>123659.1394</v>
      </c>
      <c r="G518" s="225"/>
      <c r="H518" s="225">
        <f>H519+H521+H524+H526</f>
        <v>123659.1394</v>
      </c>
      <c r="I518" s="225">
        <f>I519+I521+I524</f>
        <v>118516.894</v>
      </c>
      <c r="J518" s="379"/>
      <c r="K518" s="225">
        <f>K519+K521+K524</f>
        <v>118516.894</v>
      </c>
      <c r="L518" s="225">
        <f>L519+L521+L524</f>
        <v>116542.9966</v>
      </c>
      <c r="M518" s="225"/>
      <c r="N518" s="225">
        <f>N519+N521+N524</f>
        <v>116542.9966</v>
      </c>
    </row>
    <row r="519" spans="1:14" ht="27" x14ac:dyDescent="0.3">
      <c r="A519" s="8"/>
      <c r="B519" s="8"/>
      <c r="C519" s="7" t="s">
        <v>263</v>
      </c>
      <c r="D519" s="61"/>
      <c r="E519" s="6" t="s">
        <v>262</v>
      </c>
      <c r="F519" s="9">
        <f>F520</f>
        <v>28230</v>
      </c>
      <c r="G519" s="9"/>
      <c r="H519" s="9">
        <f>H520</f>
        <v>28230</v>
      </c>
      <c r="I519" s="9">
        <f>I520</f>
        <v>28230</v>
      </c>
      <c r="J519" s="380"/>
      <c r="K519" s="9">
        <f>K520</f>
        <v>28230</v>
      </c>
      <c r="L519" s="9">
        <f>L520</f>
        <v>28230</v>
      </c>
      <c r="M519" s="9"/>
      <c r="N519" s="9">
        <f>N520</f>
        <v>28230</v>
      </c>
    </row>
    <row r="520" spans="1:14" ht="27" x14ac:dyDescent="0.3">
      <c r="A520" s="8"/>
      <c r="B520" s="8"/>
      <c r="C520" s="7"/>
      <c r="D520" s="7" t="s">
        <v>57</v>
      </c>
      <c r="E520" s="6" t="s">
        <v>56</v>
      </c>
      <c r="F520" s="9">
        <v>28230</v>
      </c>
      <c r="G520" s="9"/>
      <c r="H520" s="9">
        <v>28230</v>
      </c>
      <c r="I520" s="9">
        <v>28230</v>
      </c>
      <c r="J520" s="380"/>
      <c r="K520" s="9">
        <v>28230</v>
      </c>
      <c r="L520" s="9">
        <v>28230</v>
      </c>
      <c r="M520" s="9"/>
      <c r="N520" s="9">
        <v>28230</v>
      </c>
    </row>
    <row r="521" spans="1:14" ht="40.200000000000003" x14ac:dyDescent="0.3">
      <c r="A521" s="8"/>
      <c r="B521" s="8"/>
      <c r="C521" s="7" t="s">
        <v>261</v>
      </c>
      <c r="D521" s="7"/>
      <c r="E521" s="6" t="s">
        <v>260</v>
      </c>
      <c r="F521" s="9">
        <f>F522+F523</f>
        <v>93455.039399999994</v>
      </c>
      <c r="G521" s="9"/>
      <c r="H521" s="9">
        <f>H522+H523</f>
        <v>93455.039399999994</v>
      </c>
      <c r="I521" s="9">
        <f>I522+I523</f>
        <v>89362.793999999994</v>
      </c>
      <c r="J521" s="380"/>
      <c r="K521" s="9">
        <f>K522+K523</f>
        <v>89362.793999999994</v>
      </c>
      <c r="L521" s="9">
        <f>L522+L523</f>
        <v>87388.896599999993</v>
      </c>
      <c r="M521" s="9"/>
      <c r="N521" s="9">
        <f>N522+N523</f>
        <v>87388.896599999993</v>
      </c>
    </row>
    <row r="522" spans="1:14" x14ac:dyDescent="0.3">
      <c r="A522" s="8"/>
      <c r="B522" s="8"/>
      <c r="C522" s="7"/>
      <c r="D522" s="7" t="s">
        <v>79</v>
      </c>
      <c r="E522" s="6" t="s">
        <v>78</v>
      </c>
      <c r="F522" s="9">
        <v>23.352499999999999</v>
      </c>
      <c r="G522" s="9"/>
      <c r="H522" s="9">
        <v>23.352499999999999</v>
      </c>
      <c r="I522" s="9">
        <v>23.352499999999999</v>
      </c>
      <c r="J522" s="380"/>
      <c r="K522" s="9">
        <v>23.352499999999999</v>
      </c>
      <c r="L522" s="9">
        <v>23.352499999999999</v>
      </c>
      <c r="M522" s="9"/>
      <c r="N522" s="9">
        <v>23.352499999999999</v>
      </c>
    </row>
    <row r="523" spans="1:14" ht="27" x14ac:dyDescent="0.3">
      <c r="A523" s="8"/>
      <c r="B523" s="8"/>
      <c r="C523" s="7"/>
      <c r="D523" s="7" t="s">
        <v>57</v>
      </c>
      <c r="E523" s="6" t="s">
        <v>56</v>
      </c>
      <c r="F523" s="9">
        <v>93431.686900000001</v>
      </c>
      <c r="G523" s="9"/>
      <c r="H523" s="9">
        <v>93431.686900000001</v>
      </c>
      <c r="I523" s="5">
        <v>89339.441500000001</v>
      </c>
      <c r="J523" s="382"/>
      <c r="K523" s="5">
        <v>89339.441500000001</v>
      </c>
      <c r="L523" s="5">
        <v>87365.544099999999</v>
      </c>
      <c r="M523" s="5"/>
      <c r="N523" s="5">
        <v>87365.544099999999</v>
      </c>
    </row>
    <row r="524" spans="1:14" x14ac:dyDescent="0.3">
      <c r="A524" s="8"/>
      <c r="B524" s="8"/>
      <c r="C524" s="7" t="s">
        <v>259</v>
      </c>
      <c r="D524" s="7"/>
      <c r="E524" s="6" t="s">
        <v>258</v>
      </c>
      <c r="F524" s="9">
        <f>F525</f>
        <v>924.1</v>
      </c>
      <c r="G524" s="9"/>
      <c r="H524" s="9">
        <f>H525</f>
        <v>924.1</v>
      </c>
      <c r="I524" s="9">
        <f>I525</f>
        <v>924.1</v>
      </c>
      <c r="J524" s="380"/>
      <c r="K524" s="9">
        <f>K525</f>
        <v>924.1</v>
      </c>
      <c r="L524" s="9">
        <f>L525</f>
        <v>924.1</v>
      </c>
      <c r="M524" s="9"/>
      <c r="N524" s="9">
        <f>N525</f>
        <v>924.1</v>
      </c>
    </row>
    <row r="525" spans="1:14" ht="27" x14ac:dyDescent="0.3">
      <c r="A525" s="8"/>
      <c r="B525" s="8"/>
      <c r="C525" s="7"/>
      <c r="D525" s="7" t="s">
        <v>57</v>
      </c>
      <c r="E525" s="6" t="s">
        <v>56</v>
      </c>
      <c r="F525" s="9">
        <v>924.1</v>
      </c>
      <c r="G525" s="9"/>
      <c r="H525" s="9">
        <v>924.1</v>
      </c>
      <c r="I525" s="9">
        <v>924.1</v>
      </c>
      <c r="J525" s="380"/>
      <c r="K525" s="9">
        <v>924.1</v>
      </c>
      <c r="L525" s="9">
        <v>924.1</v>
      </c>
      <c r="M525" s="9"/>
      <c r="N525" s="9">
        <v>924.1</v>
      </c>
    </row>
    <row r="526" spans="1:14" ht="27" x14ac:dyDescent="0.3">
      <c r="A526" s="8"/>
      <c r="B526" s="8"/>
      <c r="C526" s="7" t="s">
        <v>821</v>
      </c>
      <c r="D526" s="7"/>
      <c r="E526" s="6" t="s">
        <v>239</v>
      </c>
      <c r="F526" s="9">
        <f>F527</f>
        <v>1050</v>
      </c>
      <c r="G526" s="9"/>
      <c r="H526" s="9">
        <f>H527</f>
        <v>1050</v>
      </c>
      <c r="I526" s="9">
        <f>I527</f>
        <v>0</v>
      </c>
      <c r="J526" s="380"/>
      <c r="K526" s="9">
        <f>K527</f>
        <v>0</v>
      </c>
      <c r="L526" s="9">
        <f>L527</f>
        <v>0</v>
      </c>
      <c r="M526" s="9"/>
      <c r="N526" s="9">
        <f>N527</f>
        <v>0</v>
      </c>
    </row>
    <row r="527" spans="1:14" ht="27" x14ac:dyDescent="0.3">
      <c r="A527" s="8"/>
      <c r="B527" s="8"/>
      <c r="C527" s="7"/>
      <c r="D527" s="7" t="s">
        <v>57</v>
      </c>
      <c r="E527" s="6" t="s">
        <v>56</v>
      </c>
      <c r="F527" s="9">
        <f>F528+F529</f>
        <v>1050</v>
      </c>
      <c r="G527" s="9"/>
      <c r="H527" s="9">
        <f>H528+H529</f>
        <v>1050</v>
      </c>
      <c r="I527" s="9">
        <f>I528+I529</f>
        <v>0</v>
      </c>
      <c r="J527" s="380"/>
      <c r="K527" s="9">
        <f>K528+K529</f>
        <v>0</v>
      </c>
      <c r="L527" s="9">
        <f>L528+L529</f>
        <v>0</v>
      </c>
      <c r="M527" s="9"/>
      <c r="N527" s="9">
        <f>N528+N529</f>
        <v>0</v>
      </c>
    </row>
    <row r="528" spans="1:14" x14ac:dyDescent="0.3">
      <c r="A528" s="8"/>
      <c r="B528" s="8"/>
      <c r="C528" s="7"/>
      <c r="D528" s="7"/>
      <c r="E528" s="6" t="s">
        <v>238</v>
      </c>
      <c r="F528" s="9">
        <v>1050</v>
      </c>
      <c r="G528" s="9"/>
      <c r="H528" s="9">
        <v>1050</v>
      </c>
      <c r="I528" s="9">
        <v>0</v>
      </c>
      <c r="J528" s="380"/>
      <c r="K528" s="9">
        <v>0</v>
      </c>
      <c r="L528" s="9">
        <v>0</v>
      </c>
      <c r="M528" s="9"/>
      <c r="N528" s="9">
        <v>0</v>
      </c>
    </row>
    <row r="529" spans="1:14" x14ac:dyDescent="0.3">
      <c r="A529" s="8"/>
      <c r="B529" s="8"/>
      <c r="C529" s="7"/>
      <c r="D529" s="7"/>
      <c r="E529" s="6" t="s">
        <v>77</v>
      </c>
      <c r="F529" s="9">
        <v>0</v>
      </c>
      <c r="G529" s="9"/>
      <c r="H529" s="9">
        <v>0</v>
      </c>
      <c r="I529" s="9">
        <v>0</v>
      </c>
      <c r="J529" s="380"/>
      <c r="K529" s="9">
        <v>0</v>
      </c>
      <c r="L529" s="9">
        <v>0</v>
      </c>
      <c r="M529" s="9"/>
      <c r="N529" s="9">
        <v>0</v>
      </c>
    </row>
    <row r="530" spans="1:14" x14ac:dyDescent="0.3">
      <c r="A530" s="31"/>
      <c r="B530" s="31"/>
      <c r="C530" s="31" t="s">
        <v>85</v>
      </c>
      <c r="D530" s="31"/>
      <c r="E530" s="52" t="s">
        <v>84</v>
      </c>
      <c r="F530" s="29">
        <f t="shared" ref="F530:N532" si="77">F531</f>
        <v>783.58839999999998</v>
      </c>
      <c r="G530" s="29"/>
      <c r="H530" s="29">
        <f t="shared" si="77"/>
        <v>783.58839999999998</v>
      </c>
      <c r="I530" s="29">
        <f t="shared" si="77"/>
        <v>861.94719999999995</v>
      </c>
      <c r="J530" s="378"/>
      <c r="K530" s="29">
        <f t="shared" si="77"/>
        <v>861.94719999999995</v>
      </c>
      <c r="L530" s="29">
        <f t="shared" si="77"/>
        <v>940.30610000000001</v>
      </c>
      <c r="M530" s="29"/>
      <c r="N530" s="29">
        <f t="shared" si="77"/>
        <v>940.30610000000001</v>
      </c>
    </row>
    <row r="531" spans="1:14" ht="27" x14ac:dyDescent="0.3">
      <c r="A531" s="223"/>
      <c r="B531" s="223"/>
      <c r="C531" s="223" t="s">
        <v>83</v>
      </c>
      <c r="D531" s="223"/>
      <c r="E531" s="224" t="s">
        <v>82</v>
      </c>
      <c r="F531" s="225">
        <f t="shared" si="77"/>
        <v>783.58839999999998</v>
      </c>
      <c r="G531" s="225"/>
      <c r="H531" s="225">
        <f t="shared" si="77"/>
        <v>783.58839999999998</v>
      </c>
      <c r="I531" s="225">
        <f t="shared" si="77"/>
        <v>861.94719999999995</v>
      </c>
      <c r="J531" s="379"/>
      <c r="K531" s="225">
        <f t="shared" si="77"/>
        <v>861.94719999999995</v>
      </c>
      <c r="L531" s="225">
        <f t="shared" si="77"/>
        <v>940.30610000000001</v>
      </c>
      <c r="M531" s="225"/>
      <c r="N531" s="225">
        <f t="shared" si="77"/>
        <v>940.30610000000001</v>
      </c>
    </row>
    <row r="532" spans="1:14" ht="27" x14ac:dyDescent="0.3">
      <c r="A532" s="7"/>
      <c r="B532" s="7"/>
      <c r="C532" s="7" t="s">
        <v>182</v>
      </c>
      <c r="D532" s="7"/>
      <c r="E532" s="6" t="s">
        <v>181</v>
      </c>
      <c r="F532" s="9">
        <f t="shared" si="77"/>
        <v>783.58839999999998</v>
      </c>
      <c r="G532" s="9"/>
      <c r="H532" s="9">
        <f t="shared" si="77"/>
        <v>783.58839999999998</v>
      </c>
      <c r="I532" s="9">
        <f t="shared" si="77"/>
        <v>861.94719999999995</v>
      </c>
      <c r="J532" s="380"/>
      <c r="K532" s="9">
        <f t="shared" si="77"/>
        <v>861.94719999999995</v>
      </c>
      <c r="L532" s="9">
        <f t="shared" si="77"/>
        <v>940.30610000000001</v>
      </c>
      <c r="M532" s="9"/>
      <c r="N532" s="9">
        <f t="shared" si="77"/>
        <v>940.30610000000001</v>
      </c>
    </row>
    <row r="533" spans="1:14" ht="27" x14ac:dyDescent="0.3">
      <c r="A533" s="7"/>
      <c r="B533" s="7"/>
      <c r="C533" s="7"/>
      <c r="D533" s="73" t="s">
        <v>57</v>
      </c>
      <c r="E533" s="72" t="s">
        <v>56</v>
      </c>
      <c r="F533" s="9">
        <v>783.58839999999998</v>
      </c>
      <c r="G533" s="9"/>
      <c r="H533" s="9">
        <v>783.58839999999998</v>
      </c>
      <c r="I533" s="9">
        <v>861.94719999999995</v>
      </c>
      <c r="J533" s="380"/>
      <c r="K533" s="9">
        <v>861.94719999999995</v>
      </c>
      <c r="L533" s="9">
        <v>940.30610000000001</v>
      </c>
      <c r="M533" s="9"/>
      <c r="N533" s="9">
        <v>940.30610000000001</v>
      </c>
    </row>
    <row r="534" spans="1:14" x14ac:dyDescent="0.3">
      <c r="A534" s="37"/>
      <c r="B534" s="23" t="s">
        <v>257</v>
      </c>
      <c r="C534" s="22"/>
      <c r="D534" s="21"/>
      <c r="E534" s="20" t="s">
        <v>256</v>
      </c>
      <c r="F534" s="27">
        <f>F535+F602</f>
        <v>386272.53527000005</v>
      </c>
      <c r="G534" s="27">
        <f>G535+G602</f>
        <v>1082.4000000000058</v>
      </c>
      <c r="H534" s="27">
        <f t="shared" ref="H534:N534" si="78">H535+H602</f>
        <v>387354.93527000007</v>
      </c>
      <c r="I534" s="27">
        <f t="shared" si="78"/>
        <v>295802.44889999996</v>
      </c>
      <c r="J534" s="27">
        <f t="shared" si="78"/>
        <v>1422.3</v>
      </c>
      <c r="K534" s="27">
        <f t="shared" si="78"/>
        <v>297224.74889999995</v>
      </c>
      <c r="L534" s="27">
        <f t="shared" si="78"/>
        <v>286556.01549999992</v>
      </c>
      <c r="M534" s="27">
        <f t="shared" si="78"/>
        <v>7500</v>
      </c>
      <c r="N534" s="27">
        <f t="shared" si="78"/>
        <v>294056.01549999992</v>
      </c>
    </row>
    <row r="535" spans="1:14" x14ac:dyDescent="0.3">
      <c r="A535" s="37"/>
      <c r="B535" s="23"/>
      <c r="C535" s="22" t="s">
        <v>36</v>
      </c>
      <c r="D535" s="21"/>
      <c r="E535" s="28" t="s">
        <v>35</v>
      </c>
      <c r="F535" s="27">
        <f>F536+F597</f>
        <v>386272.53527000005</v>
      </c>
      <c r="G535" s="27">
        <f t="shared" ref="G535:N535" si="79">G536+G597</f>
        <v>732.10000000000582</v>
      </c>
      <c r="H535" s="27">
        <f t="shared" si="79"/>
        <v>387004.63527000009</v>
      </c>
      <c r="I535" s="27">
        <f t="shared" si="79"/>
        <v>295802.44889999996</v>
      </c>
      <c r="J535" s="27">
        <f t="shared" si="79"/>
        <v>1422.3</v>
      </c>
      <c r="K535" s="27">
        <f t="shared" si="79"/>
        <v>297224.74889999995</v>
      </c>
      <c r="L535" s="27">
        <f t="shared" si="79"/>
        <v>286556.01549999992</v>
      </c>
      <c r="M535" s="27">
        <f t="shared" si="79"/>
        <v>7500</v>
      </c>
      <c r="N535" s="27">
        <f t="shared" si="79"/>
        <v>294056.01549999992</v>
      </c>
    </row>
    <row r="536" spans="1:14" ht="26.4" x14ac:dyDescent="0.3">
      <c r="A536" s="54"/>
      <c r="B536" s="34"/>
      <c r="C536" s="35" t="s">
        <v>87</v>
      </c>
      <c r="D536" s="34"/>
      <c r="E536" s="33" t="s">
        <v>227</v>
      </c>
      <c r="F536" s="32">
        <f t="shared" ref="F536:N536" si="80">F537+F564+F568</f>
        <v>386272.53527000005</v>
      </c>
      <c r="G536" s="32">
        <f t="shared" si="80"/>
        <v>732.10000000000582</v>
      </c>
      <c r="H536" s="32">
        <f t="shared" si="80"/>
        <v>387004.63527000009</v>
      </c>
      <c r="I536" s="32">
        <f t="shared" si="80"/>
        <v>295802.44889999996</v>
      </c>
      <c r="J536" s="32"/>
      <c r="K536" s="32">
        <f t="shared" si="80"/>
        <v>295802.44889999996</v>
      </c>
      <c r="L536" s="32">
        <f t="shared" si="80"/>
        <v>286556.01549999992</v>
      </c>
      <c r="M536" s="32">
        <f t="shared" si="80"/>
        <v>7500</v>
      </c>
      <c r="N536" s="32">
        <f t="shared" si="80"/>
        <v>294056.01549999992</v>
      </c>
    </row>
    <row r="537" spans="1:14" x14ac:dyDescent="0.3">
      <c r="A537" s="31"/>
      <c r="B537" s="31"/>
      <c r="C537" s="31" t="s">
        <v>191</v>
      </c>
      <c r="D537" s="31"/>
      <c r="E537" s="52" t="s">
        <v>190</v>
      </c>
      <c r="F537" s="29">
        <f>F538+F547+F558</f>
        <v>294713.70800000004</v>
      </c>
      <c r="G537" s="29"/>
      <c r="H537" s="29">
        <f>H538+H547+H558+H561</f>
        <v>294713.70800000004</v>
      </c>
      <c r="I537" s="29">
        <f>I538+I547+I558</f>
        <v>290495.84719999996</v>
      </c>
      <c r="J537" s="29"/>
      <c r="K537" s="29">
        <f>K538+K547+K558+K561</f>
        <v>290495.84719999996</v>
      </c>
      <c r="L537" s="29">
        <f>L538+L547+L558</f>
        <v>281249.34819999995</v>
      </c>
      <c r="M537" s="29">
        <f>M538+M547+M558+M561</f>
        <v>0</v>
      </c>
      <c r="N537" s="29">
        <f>N538+N547+N558+N561</f>
        <v>281249.34819999995</v>
      </c>
    </row>
    <row r="538" spans="1:14" ht="27" x14ac:dyDescent="0.3">
      <c r="A538" s="223"/>
      <c r="B538" s="223"/>
      <c r="C538" s="223" t="s">
        <v>255</v>
      </c>
      <c r="D538" s="223"/>
      <c r="E538" s="224" t="s">
        <v>174</v>
      </c>
      <c r="F538" s="225">
        <f>F539+F541+F543</f>
        <v>263357.32459999999</v>
      </c>
      <c r="G538" s="225"/>
      <c r="H538" s="225">
        <f>H539+H541+H543</f>
        <v>263357.32459999999</v>
      </c>
      <c r="I538" s="225">
        <f>I539+I541+I543</f>
        <v>259433.1974</v>
      </c>
      <c r="J538" s="379"/>
      <c r="K538" s="225">
        <f>K539+K541+K543</f>
        <v>259433.1974</v>
      </c>
      <c r="L538" s="225">
        <f>L539+L541+L543</f>
        <v>250831.19839999999</v>
      </c>
      <c r="M538" s="225"/>
      <c r="N538" s="225">
        <f>N539+N541+N543</f>
        <v>250831.19839999999</v>
      </c>
    </row>
    <row r="539" spans="1:14" ht="27" x14ac:dyDescent="0.3">
      <c r="A539" s="8"/>
      <c r="B539" s="8"/>
      <c r="C539" s="7" t="s">
        <v>254</v>
      </c>
      <c r="D539" s="61"/>
      <c r="E539" s="6" t="s">
        <v>253</v>
      </c>
      <c r="F539" s="9">
        <f>F540</f>
        <v>35235.9</v>
      </c>
      <c r="G539" s="9"/>
      <c r="H539" s="9">
        <f>H540</f>
        <v>35235.9</v>
      </c>
      <c r="I539" s="9">
        <f>I540</f>
        <v>35235.9</v>
      </c>
      <c r="J539" s="380"/>
      <c r="K539" s="9">
        <f>K540</f>
        <v>35235.9</v>
      </c>
      <c r="L539" s="9">
        <f>L540</f>
        <v>35235.9</v>
      </c>
      <c r="M539" s="9"/>
      <c r="N539" s="9">
        <f>N540</f>
        <v>35235.9</v>
      </c>
    </row>
    <row r="540" spans="1:14" ht="27" x14ac:dyDescent="0.3">
      <c r="A540" s="8"/>
      <c r="B540" s="8"/>
      <c r="C540" s="7"/>
      <c r="D540" s="7" t="s">
        <v>57</v>
      </c>
      <c r="E540" s="6" t="s">
        <v>56</v>
      </c>
      <c r="F540" s="9">
        <v>35235.9</v>
      </c>
      <c r="G540" s="9"/>
      <c r="H540" s="9">
        <v>35235.9</v>
      </c>
      <c r="I540" s="9">
        <v>35235.9</v>
      </c>
      <c r="J540" s="380"/>
      <c r="K540" s="9">
        <v>35235.9</v>
      </c>
      <c r="L540" s="9">
        <v>35235.9</v>
      </c>
      <c r="M540" s="9"/>
      <c r="N540" s="9">
        <v>35235.9</v>
      </c>
    </row>
    <row r="541" spans="1:14" ht="40.200000000000003" x14ac:dyDescent="0.3">
      <c r="A541" s="8"/>
      <c r="B541" s="8"/>
      <c r="C541" s="7" t="s">
        <v>252</v>
      </c>
      <c r="D541" s="7"/>
      <c r="E541" s="6" t="s">
        <v>251</v>
      </c>
      <c r="F541" s="9">
        <f>F542</f>
        <v>218466.32459999999</v>
      </c>
      <c r="G541" s="9"/>
      <c r="H541" s="9">
        <f>H542</f>
        <v>218466.32459999999</v>
      </c>
      <c r="I541" s="9">
        <f>I542</f>
        <v>214542.1974</v>
      </c>
      <c r="J541" s="380"/>
      <c r="K541" s="9">
        <f>K542</f>
        <v>214542.1974</v>
      </c>
      <c r="L541" s="9">
        <f>L542</f>
        <v>205940.19839999999</v>
      </c>
      <c r="M541" s="9"/>
      <c r="N541" s="9">
        <f>N542</f>
        <v>205940.19839999999</v>
      </c>
    </row>
    <row r="542" spans="1:14" ht="27" x14ac:dyDescent="0.3">
      <c r="A542" s="8"/>
      <c r="B542" s="8"/>
      <c r="C542" s="7"/>
      <c r="D542" s="7" t="s">
        <v>57</v>
      </c>
      <c r="E542" s="6" t="s">
        <v>56</v>
      </c>
      <c r="F542" s="9">
        <v>218466.32459999999</v>
      </c>
      <c r="G542" s="9"/>
      <c r="H542" s="9">
        <v>218466.32459999999</v>
      </c>
      <c r="I542" s="5">
        <v>214542.1974</v>
      </c>
      <c r="J542" s="382"/>
      <c r="K542" s="5">
        <v>214542.1974</v>
      </c>
      <c r="L542" s="5">
        <v>205940.19839999999</v>
      </c>
      <c r="M542" s="5"/>
      <c r="N542" s="5">
        <v>205940.19839999999</v>
      </c>
    </row>
    <row r="543" spans="1:14" ht="51" customHeight="1" x14ac:dyDescent="0.3">
      <c r="A543" s="8"/>
      <c r="B543" s="8"/>
      <c r="C543" s="7" t="s">
        <v>250</v>
      </c>
      <c r="D543" s="7"/>
      <c r="E543" s="6" t="s">
        <v>249</v>
      </c>
      <c r="F543" s="79">
        <f>F545+F546</f>
        <v>9655.1</v>
      </c>
      <c r="G543" s="79"/>
      <c r="H543" s="79">
        <f>H545+H546</f>
        <v>9655.1</v>
      </c>
      <c r="I543" s="79">
        <f>I545+I546</f>
        <v>9655.1</v>
      </c>
      <c r="J543" s="383"/>
      <c r="K543" s="79">
        <f>K545+K546</f>
        <v>9655.1</v>
      </c>
      <c r="L543" s="79">
        <f>L545+L546</f>
        <v>9655.1</v>
      </c>
      <c r="M543" s="79"/>
      <c r="N543" s="79">
        <f>N545+N546</f>
        <v>9655.1</v>
      </c>
    </row>
    <row r="544" spans="1:14" ht="27" x14ac:dyDescent="0.3">
      <c r="A544" s="8"/>
      <c r="B544" s="8"/>
      <c r="C544" s="7"/>
      <c r="D544" s="7" t="s">
        <v>57</v>
      </c>
      <c r="E544" s="6" t="s">
        <v>56</v>
      </c>
      <c r="F544" s="79">
        <f>F545+F546</f>
        <v>9655.1</v>
      </c>
      <c r="G544" s="79"/>
      <c r="H544" s="79">
        <f>H545+H546</f>
        <v>9655.1</v>
      </c>
      <c r="I544" s="79">
        <f>I545+I546</f>
        <v>9655.1</v>
      </c>
      <c r="J544" s="383"/>
      <c r="K544" s="79">
        <f>K545+K546</f>
        <v>9655.1</v>
      </c>
      <c r="L544" s="79">
        <f>L545+L546</f>
        <v>9655.1</v>
      </c>
      <c r="M544" s="79"/>
      <c r="N544" s="79">
        <f>N545+N546</f>
        <v>9655.1</v>
      </c>
    </row>
    <row r="545" spans="1:14" x14ac:dyDescent="0.3">
      <c r="A545" s="8"/>
      <c r="B545" s="8"/>
      <c r="C545" s="7"/>
      <c r="D545" s="7"/>
      <c r="E545" s="6" t="s">
        <v>238</v>
      </c>
      <c r="F545" s="9">
        <v>8930.9</v>
      </c>
      <c r="G545" s="9"/>
      <c r="H545" s="9">
        <v>8930.9</v>
      </c>
      <c r="I545" s="9">
        <v>8930.9</v>
      </c>
      <c r="J545" s="380"/>
      <c r="K545" s="9">
        <v>8930.9</v>
      </c>
      <c r="L545" s="9">
        <v>8930.9</v>
      </c>
      <c r="M545" s="9"/>
      <c r="N545" s="9">
        <v>8930.9</v>
      </c>
    </row>
    <row r="546" spans="1:14" x14ac:dyDescent="0.3">
      <c r="A546" s="8"/>
      <c r="B546" s="8"/>
      <c r="C546" s="7"/>
      <c r="D546" s="7"/>
      <c r="E546" s="6" t="s">
        <v>77</v>
      </c>
      <c r="F546" s="9">
        <v>724.2</v>
      </c>
      <c r="G546" s="9"/>
      <c r="H546" s="9">
        <v>724.2</v>
      </c>
      <c r="I546" s="9">
        <v>724.2</v>
      </c>
      <c r="J546" s="380"/>
      <c r="K546" s="9">
        <v>724.2</v>
      </c>
      <c r="L546" s="9">
        <v>724.2</v>
      </c>
      <c r="M546" s="9"/>
      <c r="N546" s="9">
        <v>724.2</v>
      </c>
    </row>
    <row r="547" spans="1:14" ht="40.200000000000003" x14ac:dyDescent="0.3">
      <c r="A547" s="223"/>
      <c r="B547" s="223"/>
      <c r="C547" s="223" t="s">
        <v>189</v>
      </c>
      <c r="D547" s="223"/>
      <c r="E547" s="224" t="s">
        <v>188</v>
      </c>
      <c r="F547" s="225">
        <f>F548+F550+F552+F554+F556</f>
        <v>30927.899999999998</v>
      </c>
      <c r="G547" s="225"/>
      <c r="H547" s="225">
        <f>H548+H550+H552+H554+H556</f>
        <v>30927.899999999998</v>
      </c>
      <c r="I547" s="225">
        <f>I548+I550+I552+I554+I556+I526</f>
        <v>30544.6</v>
      </c>
      <c r="J547" s="379"/>
      <c r="K547" s="225">
        <f>K548+K550+K552+K554+K556+K526</f>
        <v>30544.6</v>
      </c>
      <c r="L547" s="225">
        <f>L548+L550+L552+L554+L556+L526</f>
        <v>29900.1</v>
      </c>
      <c r="M547" s="225"/>
      <c r="N547" s="225">
        <f>N548+N550+N552+N554+N556+N526</f>
        <v>29900.1</v>
      </c>
    </row>
    <row r="548" spans="1:14" x14ac:dyDescent="0.3">
      <c r="A548" s="8"/>
      <c r="B548" s="8"/>
      <c r="C548" s="7" t="s">
        <v>248</v>
      </c>
      <c r="D548" s="7"/>
      <c r="E548" s="6" t="s">
        <v>247</v>
      </c>
      <c r="F548" s="9">
        <f>F549</f>
        <v>7208.4</v>
      </c>
      <c r="G548" s="9"/>
      <c r="H548" s="9">
        <f>H549</f>
        <v>7208.4</v>
      </c>
      <c r="I548" s="9">
        <f>I549</f>
        <v>7208.4</v>
      </c>
      <c r="J548" s="380"/>
      <c r="K548" s="9">
        <f>K549</f>
        <v>7208.4</v>
      </c>
      <c r="L548" s="9">
        <f>L549</f>
        <v>7208.4</v>
      </c>
      <c r="M548" s="9"/>
      <c r="N548" s="9">
        <f>N549</f>
        <v>7208.4</v>
      </c>
    </row>
    <row r="549" spans="1:14" ht="27" x14ac:dyDescent="0.3">
      <c r="A549" s="8"/>
      <c r="B549" s="8"/>
      <c r="C549" s="7"/>
      <c r="D549" s="7" t="s">
        <v>57</v>
      </c>
      <c r="E549" s="6" t="s">
        <v>56</v>
      </c>
      <c r="F549" s="9">
        <v>7208.4</v>
      </c>
      <c r="G549" s="9"/>
      <c r="H549" s="9">
        <v>7208.4</v>
      </c>
      <c r="I549" s="9">
        <v>7208.4</v>
      </c>
      <c r="J549" s="380"/>
      <c r="K549" s="9">
        <v>7208.4</v>
      </c>
      <c r="L549" s="9">
        <v>7208.4</v>
      </c>
      <c r="M549" s="9"/>
      <c r="N549" s="9">
        <v>7208.4</v>
      </c>
    </row>
    <row r="550" spans="1:14" ht="27" x14ac:dyDescent="0.3">
      <c r="A550" s="8"/>
      <c r="B550" s="8"/>
      <c r="C550" s="7" t="s">
        <v>246</v>
      </c>
      <c r="D550" s="7"/>
      <c r="E550" s="6" t="s">
        <v>245</v>
      </c>
      <c r="F550" s="9">
        <f>F551</f>
        <v>419.8</v>
      </c>
      <c r="G550" s="9"/>
      <c r="H550" s="9">
        <f>H551</f>
        <v>419.8</v>
      </c>
      <c r="I550" s="9">
        <f>I551</f>
        <v>419.8</v>
      </c>
      <c r="J550" s="380"/>
      <c r="K550" s="9">
        <f>K551</f>
        <v>419.8</v>
      </c>
      <c r="L550" s="9">
        <f>L551</f>
        <v>419.8</v>
      </c>
      <c r="M550" s="9"/>
      <c r="N550" s="9">
        <f>N551</f>
        <v>419.8</v>
      </c>
    </row>
    <row r="551" spans="1:14" ht="27" x14ac:dyDescent="0.3">
      <c r="A551" s="8"/>
      <c r="B551" s="8"/>
      <c r="C551" s="7"/>
      <c r="D551" s="7" t="s">
        <v>57</v>
      </c>
      <c r="E551" s="6" t="s">
        <v>56</v>
      </c>
      <c r="F551" s="9">
        <v>419.8</v>
      </c>
      <c r="G551" s="9"/>
      <c r="H551" s="9">
        <v>419.8</v>
      </c>
      <c r="I551" s="9">
        <v>419.8</v>
      </c>
      <c r="J551" s="380"/>
      <c r="K551" s="9">
        <v>419.8</v>
      </c>
      <c r="L551" s="9">
        <v>419.8</v>
      </c>
      <c r="M551" s="9"/>
      <c r="N551" s="9">
        <v>419.8</v>
      </c>
    </row>
    <row r="552" spans="1:14" ht="27" x14ac:dyDescent="0.3">
      <c r="A552" s="8"/>
      <c r="B552" s="8"/>
      <c r="C552" s="7" t="s">
        <v>244</v>
      </c>
      <c r="D552" s="7"/>
      <c r="E552" s="6" t="s">
        <v>243</v>
      </c>
      <c r="F552" s="9">
        <f>F553</f>
        <v>113.8</v>
      </c>
      <c r="G552" s="9"/>
      <c r="H552" s="9">
        <f>H553</f>
        <v>113.8</v>
      </c>
      <c r="I552" s="9">
        <f>I553</f>
        <v>113.8</v>
      </c>
      <c r="J552" s="380"/>
      <c r="K552" s="9">
        <f>K553</f>
        <v>113.8</v>
      </c>
      <c r="L552" s="9">
        <f>L553</f>
        <v>113.8</v>
      </c>
      <c r="M552" s="9"/>
      <c r="N552" s="9">
        <f>N553</f>
        <v>113.8</v>
      </c>
    </row>
    <row r="553" spans="1:14" ht="27" x14ac:dyDescent="0.3">
      <c r="A553" s="8"/>
      <c r="B553" s="8"/>
      <c r="C553" s="7"/>
      <c r="D553" s="7" t="s">
        <v>57</v>
      </c>
      <c r="E553" s="6" t="s">
        <v>56</v>
      </c>
      <c r="F553" s="9">
        <v>113.8</v>
      </c>
      <c r="G553" s="9"/>
      <c r="H553" s="9">
        <v>113.8</v>
      </c>
      <c r="I553" s="9">
        <v>113.8</v>
      </c>
      <c r="J553" s="380"/>
      <c r="K553" s="9">
        <v>113.8</v>
      </c>
      <c r="L553" s="9">
        <v>113.8</v>
      </c>
      <c r="M553" s="9"/>
      <c r="N553" s="9">
        <v>113.8</v>
      </c>
    </row>
    <row r="554" spans="1:14" ht="27" x14ac:dyDescent="0.3">
      <c r="A554" s="8"/>
      <c r="B554" s="8"/>
      <c r="C554" s="7" t="s">
        <v>811</v>
      </c>
      <c r="D554" s="7"/>
      <c r="E554" s="6" t="s">
        <v>242</v>
      </c>
      <c r="F554" s="9">
        <f>F555</f>
        <v>11589.1</v>
      </c>
      <c r="G554" s="9"/>
      <c r="H554" s="9">
        <f>H555</f>
        <v>11589.1</v>
      </c>
      <c r="I554" s="9">
        <f>I555</f>
        <v>11589.1</v>
      </c>
      <c r="J554" s="380"/>
      <c r="K554" s="9">
        <f>K555</f>
        <v>11589.1</v>
      </c>
      <c r="L554" s="9">
        <f>L555</f>
        <v>11589.1</v>
      </c>
      <c r="M554" s="9"/>
      <c r="N554" s="9">
        <f>N555</f>
        <v>11589.1</v>
      </c>
    </row>
    <row r="555" spans="1:14" ht="27" x14ac:dyDescent="0.3">
      <c r="A555" s="8"/>
      <c r="B555" s="8"/>
      <c r="C555" s="7"/>
      <c r="D555" s="7" t="s">
        <v>57</v>
      </c>
      <c r="E555" s="6" t="s">
        <v>56</v>
      </c>
      <c r="F555" s="9">
        <v>11589.1</v>
      </c>
      <c r="G555" s="9"/>
      <c r="H555" s="9">
        <v>11589.1</v>
      </c>
      <c r="I555" s="9">
        <v>11589.1</v>
      </c>
      <c r="J555" s="380"/>
      <c r="K555" s="9">
        <v>11589.1</v>
      </c>
      <c r="L555" s="9">
        <v>11589.1</v>
      </c>
      <c r="M555" s="9"/>
      <c r="N555" s="9">
        <v>11589.1</v>
      </c>
    </row>
    <row r="556" spans="1:14" ht="27" x14ac:dyDescent="0.3">
      <c r="A556" s="8"/>
      <c r="B556" s="8"/>
      <c r="C556" s="7" t="s">
        <v>241</v>
      </c>
      <c r="D556" s="7"/>
      <c r="E556" s="6" t="s">
        <v>240</v>
      </c>
      <c r="F556" s="9">
        <f>F557</f>
        <v>11596.8</v>
      </c>
      <c r="G556" s="9"/>
      <c r="H556" s="9">
        <f>H557</f>
        <v>11596.8</v>
      </c>
      <c r="I556" s="9">
        <f>I557</f>
        <v>11213.5</v>
      </c>
      <c r="J556" s="380"/>
      <c r="K556" s="9">
        <f>K557</f>
        <v>11213.5</v>
      </c>
      <c r="L556" s="9">
        <f>L557</f>
        <v>10569</v>
      </c>
      <c r="M556" s="9"/>
      <c r="N556" s="9">
        <f>N557</f>
        <v>10569</v>
      </c>
    </row>
    <row r="557" spans="1:14" ht="27" x14ac:dyDescent="0.3">
      <c r="A557" s="8"/>
      <c r="B557" s="8"/>
      <c r="C557" s="7"/>
      <c r="D557" s="7" t="s">
        <v>57</v>
      </c>
      <c r="E557" s="6" t="s">
        <v>56</v>
      </c>
      <c r="F557" s="9">
        <v>11596.8</v>
      </c>
      <c r="G557" s="9"/>
      <c r="H557" s="9">
        <v>11596.8</v>
      </c>
      <c r="I557" s="9">
        <v>11213.5</v>
      </c>
      <c r="J557" s="380"/>
      <c r="K557" s="9">
        <v>11213.5</v>
      </c>
      <c r="L557" s="9">
        <v>10569</v>
      </c>
      <c r="M557" s="9"/>
      <c r="N557" s="9">
        <v>10569</v>
      </c>
    </row>
    <row r="558" spans="1:14" s="78" customFormat="1" ht="26.4" x14ac:dyDescent="0.3">
      <c r="A558" s="232"/>
      <c r="B558" s="232"/>
      <c r="C558" s="233" t="s">
        <v>237</v>
      </c>
      <c r="D558" s="228"/>
      <c r="E558" s="234" t="s">
        <v>236</v>
      </c>
      <c r="F558" s="225">
        <f t="shared" ref="F558:N562" si="81">F559</f>
        <v>428.48340000000002</v>
      </c>
      <c r="G558" s="225">
        <f t="shared" si="81"/>
        <v>-428.48340000000002</v>
      </c>
      <c r="H558" s="225">
        <f t="shared" si="81"/>
        <v>0</v>
      </c>
      <c r="I558" s="225">
        <f t="shared" si="81"/>
        <v>518.0498</v>
      </c>
      <c r="J558" s="225">
        <f t="shared" si="81"/>
        <v>-518.0498</v>
      </c>
      <c r="K558" s="225">
        <f t="shared" si="81"/>
        <v>0</v>
      </c>
      <c r="L558" s="225">
        <f t="shared" si="81"/>
        <v>518.0498</v>
      </c>
      <c r="M558" s="225">
        <f t="shared" si="81"/>
        <v>-518.0498</v>
      </c>
      <c r="N558" s="225">
        <f t="shared" si="81"/>
        <v>0</v>
      </c>
    </row>
    <row r="559" spans="1:14" ht="40.200000000000003" x14ac:dyDescent="0.3">
      <c r="A559" s="8"/>
      <c r="B559" s="8"/>
      <c r="C559" s="77" t="s">
        <v>235</v>
      </c>
      <c r="D559" s="77"/>
      <c r="E559" s="6" t="s">
        <v>234</v>
      </c>
      <c r="F559" s="9">
        <f t="shared" si="81"/>
        <v>428.48340000000002</v>
      </c>
      <c r="G559" s="9">
        <f t="shared" si="81"/>
        <v>-428.48340000000002</v>
      </c>
      <c r="H559" s="9">
        <f t="shared" si="81"/>
        <v>0</v>
      </c>
      <c r="I559" s="9">
        <f t="shared" si="81"/>
        <v>518.0498</v>
      </c>
      <c r="J559" s="9">
        <f t="shared" si="81"/>
        <v>-518.0498</v>
      </c>
      <c r="K559" s="9">
        <f t="shared" si="81"/>
        <v>0</v>
      </c>
      <c r="L559" s="9">
        <f t="shared" si="81"/>
        <v>518.0498</v>
      </c>
      <c r="M559" s="9">
        <f t="shared" si="81"/>
        <v>-518.0498</v>
      </c>
      <c r="N559" s="9">
        <f t="shared" si="81"/>
        <v>0</v>
      </c>
    </row>
    <row r="560" spans="1:14" ht="27" x14ac:dyDescent="0.3">
      <c r="A560" s="8"/>
      <c r="B560" s="8"/>
      <c r="C560" s="77"/>
      <c r="D560" s="77" t="s">
        <v>57</v>
      </c>
      <c r="E560" s="76" t="s">
        <v>56</v>
      </c>
      <c r="F560" s="9">
        <v>428.48340000000002</v>
      </c>
      <c r="G560" s="9">
        <v>-428.48340000000002</v>
      </c>
      <c r="H560" s="9">
        <v>0</v>
      </c>
      <c r="I560" s="9">
        <v>518.0498</v>
      </c>
      <c r="J560" s="9">
        <v>-518.0498</v>
      </c>
      <c r="K560" s="9">
        <v>0</v>
      </c>
      <c r="L560" s="9">
        <v>518.0498</v>
      </c>
      <c r="M560" s="9">
        <v>-518.0498</v>
      </c>
      <c r="N560" s="9">
        <v>0</v>
      </c>
    </row>
    <row r="561" spans="1:14" s="78" customFormat="1" ht="26.4" x14ac:dyDescent="0.3">
      <c r="A561" s="232"/>
      <c r="B561" s="232"/>
      <c r="C561" s="413" t="s">
        <v>902</v>
      </c>
      <c r="D561" s="414"/>
      <c r="E561" s="415" t="s">
        <v>903</v>
      </c>
      <c r="F561" s="225">
        <f t="shared" si="81"/>
        <v>0</v>
      </c>
      <c r="G561" s="225">
        <f t="shared" si="81"/>
        <v>428.48340000000002</v>
      </c>
      <c r="H561" s="225">
        <f t="shared" si="81"/>
        <v>428.48340000000002</v>
      </c>
      <c r="I561" s="225">
        <f t="shared" si="81"/>
        <v>0</v>
      </c>
      <c r="J561" s="225">
        <f t="shared" si="81"/>
        <v>518.0498</v>
      </c>
      <c r="K561" s="225">
        <f t="shared" si="81"/>
        <v>518.0498</v>
      </c>
      <c r="L561" s="225">
        <f t="shared" si="81"/>
        <v>0</v>
      </c>
      <c r="M561" s="225">
        <f t="shared" si="81"/>
        <v>518.0498</v>
      </c>
      <c r="N561" s="225">
        <f t="shared" si="81"/>
        <v>518.0498</v>
      </c>
    </row>
    <row r="562" spans="1:14" ht="40.200000000000003" x14ac:dyDescent="0.3">
      <c r="A562" s="8"/>
      <c r="B562" s="8"/>
      <c r="C562" s="416" t="s">
        <v>904</v>
      </c>
      <c r="D562" s="416"/>
      <c r="E562" s="365" t="s">
        <v>234</v>
      </c>
      <c r="F562" s="9">
        <f t="shared" si="81"/>
        <v>0</v>
      </c>
      <c r="G562" s="9">
        <f t="shared" si="81"/>
        <v>428.48340000000002</v>
      </c>
      <c r="H562" s="9">
        <f t="shared" si="81"/>
        <v>428.48340000000002</v>
      </c>
      <c r="I562" s="9">
        <f t="shared" si="81"/>
        <v>0</v>
      </c>
      <c r="J562" s="9">
        <f t="shared" si="81"/>
        <v>518.0498</v>
      </c>
      <c r="K562" s="9">
        <f t="shared" si="81"/>
        <v>518.0498</v>
      </c>
      <c r="L562" s="9">
        <f t="shared" si="81"/>
        <v>0</v>
      </c>
      <c r="M562" s="9">
        <f t="shared" si="81"/>
        <v>518.0498</v>
      </c>
      <c r="N562" s="9">
        <f t="shared" si="81"/>
        <v>518.0498</v>
      </c>
    </row>
    <row r="563" spans="1:14" ht="27" x14ac:dyDescent="0.3">
      <c r="A563" s="8"/>
      <c r="B563" s="8"/>
      <c r="C563" s="77"/>
      <c r="D563" s="77" t="s">
        <v>57</v>
      </c>
      <c r="E563" s="76" t="s">
        <v>56</v>
      </c>
      <c r="F563" s="9">
        <v>0</v>
      </c>
      <c r="G563" s="9">
        <v>428.48340000000002</v>
      </c>
      <c r="H563" s="9">
        <v>428.48340000000002</v>
      </c>
      <c r="I563" s="9">
        <v>0</v>
      </c>
      <c r="J563" s="9">
        <v>518.0498</v>
      </c>
      <c r="K563" s="9">
        <v>518.0498</v>
      </c>
      <c r="L563" s="9">
        <v>0</v>
      </c>
      <c r="M563" s="9">
        <v>518.0498</v>
      </c>
      <c r="N563" s="9">
        <v>518.0498</v>
      </c>
    </row>
    <row r="564" spans="1:14" x14ac:dyDescent="0.3">
      <c r="A564" s="31"/>
      <c r="B564" s="31"/>
      <c r="C564" s="31" t="s">
        <v>85</v>
      </c>
      <c r="D564" s="31"/>
      <c r="E564" s="52" t="s">
        <v>84</v>
      </c>
      <c r="F564" s="29">
        <f t="shared" ref="F564:N566" si="82">F565</f>
        <v>5104.0924000000005</v>
      </c>
      <c r="G564" s="29"/>
      <c r="H564" s="29">
        <f t="shared" si="82"/>
        <v>5104.0924000000005</v>
      </c>
      <c r="I564" s="29">
        <f t="shared" si="82"/>
        <v>5306.6017000000002</v>
      </c>
      <c r="J564" s="378"/>
      <c r="K564" s="29">
        <f t="shared" si="82"/>
        <v>5306.6017000000002</v>
      </c>
      <c r="L564" s="29">
        <f t="shared" si="82"/>
        <v>5306.6673000000001</v>
      </c>
      <c r="M564" s="29"/>
      <c r="N564" s="29">
        <f t="shared" si="82"/>
        <v>5306.6673000000001</v>
      </c>
    </row>
    <row r="565" spans="1:14" ht="27" x14ac:dyDescent="0.3">
      <c r="A565" s="223"/>
      <c r="B565" s="223"/>
      <c r="C565" s="223" t="s">
        <v>83</v>
      </c>
      <c r="D565" s="223"/>
      <c r="E565" s="224" t="s">
        <v>82</v>
      </c>
      <c r="F565" s="225">
        <f t="shared" si="82"/>
        <v>5104.0924000000005</v>
      </c>
      <c r="G565" s="225"/>
      <c r="H565" s="225">
        <f t="shared" si="82"/>
        <v>5104.0924000000005</v>
      </c>
      <c r="I565" s="225">
        <f t="shared" si="82"/>
        <v>5306.6017000000002</v>
      </c>
      <c r="J565" s="379"/>
      <c r="K565" s="225">
        <f t="shared" si="82"/>
        <v>5306.6017000000002</v>
      </c>
      <c r="L565" s="225">
        <f t="shared" si="82"/>
        <v>5306.6673000000001</v>
      </c>
      <c r="M565" s="225"/>
      <c r="N565" s="225">
        <f t="shared" si="82"/>
        <v>5306.6673000000001</v>
      </c>
    </row>
    <row r="566" spans="1:14" ht="27" x14ac:dyDescent="0.3">
      <c r="A566" s="8"/>
      <c r="B566" s="8"/>
      <c r="C566" s="7" t="s">
        <v>182</v>
      </c>
      <c r="D566" s="7"/>
      <c r="E566" s="6" t="s">
        <v>181</v>
      </c>
      <c r="F566" s="9">
        <f t="shared" si="82"/>
        <v>5104.0924000000005</v>
      </c>
      <c r="G566" s="9"/>
      <c r="H566" s="9">
        <f t="shared" si="82"/>
        <v>5104.0924000000005</v>
      </c>
      <c r="I566" s="9">
        <f t="shared" si="82"/>
        <v>5306.6017000000002</v>
      </c>
      <c r="J566" s="380"/>
      <c r="K566" s="9">
        <f t="shared" si="82"/>
        <v>5306.6017000000002</v>
      </c>
      <c r="L566" s="9">
        <f t="shared" si="82"/>
        <v>5306.6673000000001</v>
      </c>
      <c r="M566" s="9"/>
      <c r="N566" s="9">
        <f t="shared" si="82"/>
        <v>5306.6673000000001</v>
      </c>
    </row>
    <row r="567" spans="1:14" ht="27" x14ac:dyDescent="0.3">
      <c r="A567" s="8"/>
      <c r="B567" s="8"/>
      <c r="C567" s="7"/>
      <c r="D567" s="73" t="s">
        <v>57</v>
      </c>
      <c r="E567" s="72" t="s">
        <v>56</v>
      </c>
      <c r="F567" s="9">
        <v>5104.0924000000005</v>
      </c>
      <c r="G567" s="9"/>
      <c r="H567" s="9">
        <v>5104.0924000000005</v>
      </c>
      <c r="I567" s="9">
        <v>5306.6017000000002</v>
      </c>
      <c r="J567" s="380"/>
      <c r="K567" s="9">
        <v>5306.6017000000002</v>
      </c>
      <c r="L567" s="9">
        <v>5306.6673000000001</v>
      </c>
      <c r="M567" s="9"/>
      <c r="N567" s="9">
        <v>5306.6673000000001</v>
      </c>
    </row>
    <row r="568" spans="1:14" x14ac:dyDescent="0.3">
      <c r="A568" s="31"/>
      <c r="B568" s="31"/>
      <c r="C568" s="31" t="s">
        <v>233</v>
      </c>
      <c r="D568" s="31"/>
      <c r="E568" s="52" t="s">
        <v>232</v>
      </c>
      <c r="F568" s="29">
        <f>F569</f>
        <v>86454.73487</v>
      </c>
      <c r="G568" s="29">
        <f>G569+G586+G591</f>
        <v>732.10000000000582</v>
      </c>
      <c r="H568" s="29">
        <f>H569+H586+H591</f>
        <v>87186.834869999991</v>
      </c>
      <c r="I568" s="29">
        <f>I569</f>
        <v>0</v>
      </c>
      <c r="J568" s="378"/>
      <c r="K568" s="29">
        <f>K569</f>
        <v>0</v>
      </c>
      <c r="L568" s="29">
        <f>L569</f>
        <v>0</v>
      </c>
      <c r="M568" s="29">
        <f>M569</f>
        <v>7500</v>
      </c>
      <c r="N568" s="29">
        <f>N569</f>
        <v>7500</v>
      </c>
    </row>
    <row r="569" spans="1:14" ht="27" x14ac:dyDescent="0.3">
      <c r="A569" s="231"/>
      <c r="B569" s="231"/>
      <c r="C569" s="231" t="s">
        <v>231</v>
      </c>
      <c r="D569" s="231"/>
      <c r="E569" s="224" t="s">
        <v>230</v>
      </c>
      <c r="F569" s="225">
        <f>+F570+F574+F579+F582+F584</f>
        <v>86454.73487</v>
      </c>
      <c r="G569" s="225">
        <f>+G570+G574+G579+G582+G584</f>
        <v>-85722.634869999994</v>
      </c>
      <c r="H569" s="225">
        <f>+H570+H574+H579+H582+H584</f>
        <v>732.1</v>
      </c>
      <c r="I569" s="225">
        <f>+I570+I574</f>
        <v>0</v>
      </c>
      <c r="J569" s="379"/>
      <c r="K569" s="225">
        <f>+K570+K574</f>
        <v>0</v>
      </c>
      <c r="L569" s="225">
        <f>+L570</f>
        <v>0</v>
      </c>
      <c r="M569" s="225">
        <f>M579</f>
        <v>7500</v>
      </c>
      <c r="N569" s="225">
        <f>N579</f>
        <v>7500</v>
      </c>
    </row>
    <row r="570" spans="1:14" ht="26.4" x14ac:dyDescent="0.3">
      <c r="A570" s="8"/>
      <c r="B570" s="8"/>
      <c r="C570" s="7" t="s">
        <v>229</v>
      </c>
      <c r="D570" s="7"/>
      <c r="E570" s="10" t="s">
        <v>228</v>
      </c>
      <c r="F570" s="5">
        <f>F571</f>
        <v>18400</v>
      </c>
      <c r="G570" s="5">
        <f>G571</f>
        <v>-18400</v>
      </c>
      <c r="H570" s="5">
        <f>H571</f>
        <v>0</v>
      </c>
      <c r="I570" s="5">
        <f>I571</f>
        <v>0</v>
      </c>
      <c r="J570" s="382"/>
      <c r="K570" s="5">
        <f>K571</f>
        <v>0</v>
      </c>
      <c r="L570" s="5">
        <v>0</v>
      </c>
      <c r="M570" s="5"/>
      <c r="N570" s="5">
        <v>0</v>
      </c>
    </row>
    <row r="571" spans="1:14" ht="27" x14ac:dyDescent="0.3">
      <c r="A571" s="8"/>
      <c r="B571" s="8"/>
      <c r="C571" s="7"/>
      <c r="D571" s="7" t="s">
        <v>57</v>
      </c>
      <c r="E571" s="6" t="s">
        <v>56</v>
      </c>
      <c r="F571" s="5">
        <f>F572+F573</f>
        <v>18400</v>
      </c>
      <c r="G571" s="5">
        <f>G572+G573</f>
        <v>-18400</v>
      </c>
      <c r="H571" s="5">
        <f>H572+H573</f>
        <v>0</v>
      </c>
      <c r="I571" s="5">
        <f>I572+I573</f>
        <v>0</v>
      </c>
      <c r="J571" s="382"/>
      <c r="K571" s="5">
        <f>K572+K573</f>
        <v>0</v>
      </c>
      <c r="L571" s="5">
        <v>0</v>
      </c>
      <c r="M571" s="5"/>
      <c r="N571" s="5">
        <v>0</v>
      </c>
    </row>
    <row r="572" spans="1:14" x14ac:dyDescent="0.3">
      <c r="A572" s="8"/>
      <c r="B572" s="8"/>
      <c r="C572" s="7"/>
      <c r="D572" s="7"/>
      <c r="E572" s="6" t="s">
        <v>165</v>
      </c>
      <c r="F572" s="5">
        <v>16560</v>
      </c>
      <c r="G572" s="5">
        <v>-16560</v>
      </c>
      <c r="H572" s="5">
        <v>0</v>
      </c>
      <c r="I572" s="5">
        <v>0</v>
      </c>
      <c r="J572" s="382"/>
      <c r="K572" s="5">
        <v>0</v>
      </c>
      <c r="L572" s="5">
        <v>0</v>
      </c>
      <c r="M572" s="5"/>
      <c r="N572" s="5">
        <v>0</v>
      </c>
    </row>
    <row r="573" spans="1:14" x14ac:dyDescent="0.3">
      <c r="A573" s="8"/>
      <c r="B573" s="8"/>
      <c r="C573" s="7"/>
      <c r="D573" s="7"/>
      <c r="E573" s="6" t="s">
        <v>164</v>
      </c>
      <c r="F573" s="5">
        <v>1840</v>
      </c>
      <c r="G573" s="5">
        <v>-1840</v>
      </c>
      <c r="H573" s="5">
        <v>0</v>
      </c>
      <c r="I573" s="5">
        <v>0</v>
      </c>
      <c r="J573" s="382"/>
      <c r="K573" s="5">
        <v>0</v>
      </c>
      <c r="L573" s="5">
        <v>0</v>
      </c>
      <c r="M573" s="5"/>
      <c r="N573" s="5">
        <v>0</v>
      </c>
    </row>
    <row r="574" spans="1:14" ht="40.200000000000003" x14ac:dyDescent="0.3">
      <c r="A574" s="8"/>
      <c r="B574" s="8"/>
      <c r="C574" s="75" t="s">
        <v>613</v>
      </c>
      <c r="D574" s="74"/>
      <c r="E574" s="143" t="s">
        <v>612</v>
      </c>
      <c r="F574" s="5">
        <f>F575</f>
        <v>68054.73487</v>
      </c>
      <c r="G574" s="5">
        <f>G575</f>
        <v>-68054.73487</v>
      </c>
      <c r="H574" s="5">
        <f>H575</f>
        <v>0</v>
      </c>
      <c r="I574" s="5">
        <f>I575</f>
        <v>0</v>
      </c>
      <c r="J574" s="382"/>
      <c r="K574" s="5">
        <f>K575</f>
        <v>0</v>
      </c>
      <c r="L574" s="5">
        <v>0</v>
      </c>
      <c r="M574" s="5"/>
      <c r="N574" s="5">
        <v>0</v>
      </c>
    </row>
    <row r="575" spans="1:14" ht="27" x14ac:dyDescent="0.3">
      <c r="A575" s="8"/>
      <c r="B575" s="8"/>
      <c r="C575" s="74"/>
      <c r="D575" s="7" t="s">
        <v>57</v>
      </c>
      <c r="E575" s="6" t="s">
        <v>56</v>
      </c>
      <c r="F575" s="5">
        <f>F577+F578+F576</f>
        <v>68054.73487</v>
      </c>
      <c r="G575" s="5">
        <f>G577+G578+G576</f>
        <v>-68054.73487</v>
      </c>
      <c r="H575" s="5">
        <f>H577+H578+H576</f>
        <v>0</v>
      </c>
      <c r="I575" s="5">
        <v>0</v>
      </c>
      <c r="J575" s="382"/>
      <c r="K575" s="5">
        <v>0</v>
      </c>
      <c r="L575" s="5">
        <v>0</v>
      </c>
      <c r="M575" s="5"/>
      <c r="N575" s="5">
        <v>0</v>
      </c>
    </row>
    <row r="576" spans="1:14" x14ac:dyDescent="0.3">
      <c r="A576" s="8"/>
      <c r="B576" s="8"/>
      <c r="C576" s="74"/>
      <c r="D576" s="7"/>
      <c r="E576" s="6" t="s">
        <v>761</v>
      </c>
      <c r="F576" s="5">
        <v>48355.3</v>
      </c>
      <c r="G576" s="5">
        <v>-48355.3</v>
      </c>
      <c r="H576" s="5">
        <v>0</v>
      </c>
      <c r="I576" s="5">
        <v>0</v>
      </c>
      <c r="J576" s="382"/>
      <c r="K576" s="5">
        <v>0</v>
      </c>
      <c r="L576" s="5">
        <v>0</v>
      </c>
      <c r="M576" s="5"/>
      <c r="N576" s="5">
        <v>0</v>
      </c>
    </row>
    <row r="577" spans="1:14" x14ac:dyDescent="0.3">
      <c r="A577" s="8"/>
      <c r="B577" s="8"/>
      <c r="C577" s="74"/>
      <c r="D577" s="7"/>
      <c r="E577" s="6" t="s">
        <v>238</v>
      </c>
      <c r="F577" s="5">
        <v>14443.79091</v>
      </c>
      <c r="G577" s="5">
        <v>-14443.79091</v>
      </c>
      <c r="H577" s="5">
        <v>0</v>
      </c>
      <c r="I577" s="5">
        <v>0</v>
      </c>
      <c r="J577" s="382"/>
      <c r="K577" s="5">
        <v>0</v>
      </c>
      <c r="L577" s="5">
        <v>0</v>
      </c>
      <c r="M577" s="5"/>
      <c r="N577" s="5">
        <v>0</v>
      </c>
    </row>
    <row r="578" spans="1:14" x14ac:dyDescent="0.3">
      <c r="A578" s="8"/>
      <c r="B578" s="8"/>
      <c r="C578" s="74"/>
      <c r="D578" s="7"/>
      <c r="E578" s="6" t="s">
        <v>77</v>
      </c>
      <c r="F578" s="5">
        <v>5255.6439600000003</v>
      </c>
      <c r="G578" s="5">
        <v>-5255.6439600000003</v>
      </c>
      <c r="H578" s="5">
        <v>0</v>
      </c>
      <c r="I578" s="5">
        <v>0</v>
      </c>
      <c r="J578" s="382"/>
      <c r="K578" s="5">
        <v>0</v>
      </c>
      <c r="L578" s="5">
        <v>0</v>
      </c>
      <c r="M578" s="5"/>
      <c r="N578" s="5">
        <v>0</v>
      </c>
    </row>
    <row r="579" spans="1:14" ht="27" x14ac:dyDescent="0.3">
      <c r="A579" s="405"/>
      <c r="B579" s="405"/>
      <c r="C579" s="7" t="s">
        <v>870</v>
      </c>
      <c r="D579" s="362"/>
      <c r="E579" s="363" t="s">
        <v>871</v>
      </c>
      <c r="F579" s="382">
        <f t="shared" ref="F579:L579" si="83">F580</f>
        <v>0</v>
      </c>
      <c r="G579" s="382"/>
      <c r="H579" s="382">
        <f t="shared" si="83"/>
        <v>0</v>
      </c>
      <c r="I579" s="382">
        <f t="shared" si="83"/>
        <v>0</v>
      </c>
      <c r="J579" s="382"/>
      <c r="K579" s="382">
        <f t="shared" si="83"/>
        <v>0</v>
      </c>
      <c r="L579" s="382">
        <f t="shared" si="83"/>
        <v>0</v>
      </c>
      <c r="M579" s="382">
        <f>M580</f>
        <v>7500</v>
      </c>
      <c r="N579" s="382">
        <f>N580</f>
        <v>7500</v>
      </c>
    </row>
    <row r="580" spans="1:14" ht="27" x14ac:dyDescent="0.3">
      <c r="A580" s="405"/>
      <c r="B580" s="405"/>
      <c r="C580" s="362"/>
      <c r="D580" s="7" t="s">
        <v>57</v>
      </c>
      <c r="E580" s="146" t="s">
        <v>56</v>
      </c>
      <c r="F580" s="382">
        <v>0</v>
      </c>
      <c r="G580" s="382"/>
      <c r="H580" s="382">
        <v>0</v>
      </c>
      <c r="I580" s="382">
        <v>0</v>
      </c>
      <c r="J580" s="382"/>
      <c r="K580" s="382">
        <v>0</v>
      </c>
      <c r="L580" s="382">
        <v>0</v>
      </c>
      <c r="M580" s="382">
        <f>M581</f>
        <v>7500</v>
      </c>
      <c r="N580" s="382">
        <f>N581</f>
        <v>7500</v>
      </c>
    </row>
    <row r="581" spans="1:14" x14ac:dyDescent="0.3">
      <c r="A581" s="405"/>
      <c r="B581" s="405"/>
      <c r="C581" s="362"/>
      <c r="D581" s="362"/>
      <c r="E581" s="146" t="s">
        <v>77</v>
      </c>
      <c r="F581" s="382">
        <v>0</v>
      </c>
      <c r="G581" s="382"/>
      <c r="H581" s="382">
        <v>0</v>
      </c>
      <c r="I581" s="382">
        <v>0</v>
      </c>
      <c r="J581" s="382"/>
      <c r="K581" s="382">
        <v>0</v>
      </c>
      <c r="L581" s="382">
        <v>0</v>
      </c>
      <c r="M581" s="382">
        <v>7500</v>
      </c>
      <c r="N581" s="382">
        <v>7500</v>
      </c>
    </row>
    <row r="582" spans="1:14" ht="27" x14ac:dyDescent="0.3">
      <c r="A582" s="452"/>
      <c r="B582" s="452"/>
      <c r="C582" s="450" t="s">
        <v>915</v>
      </c>
      <c r="D582" s="445"/>
      <c r="E582" s="446" t="s">
        <v>916</v>
      </c>
      <c r="F582" s="453">
        <f>F583</f>
        <v>0</v>
      </c>
      <c r="G582" s="453">
        <f>G583</f>
        <v>401</v>
      </c>
      <c r="H582" s="453">
        <f>H583</f>
        <v>401</v>
      </c>
      <c r="I582" s="453">
        <v>0</v>
      </c>
      <c r="J582" s="453"/>
      <c r="K582" s="453">
        <v>0</v>
      </c>
      <c r="L582" s="453">
        <v>0</v>
      </c>
      <c r="M582" s="453"/>
      <c r="N582" s="453">
        <v>0</v>
      </c>
    </row>
    <row r="583" spans="1:14" ht="27" x14ac:dyDescent="0.3">
      <c r="A583" s="452"/>
      <c r="B583" s="452"/>
      <c r="C583" s="447"/>
      <c r="D583" s="445" t="s">
        <v>57</v>
      </c>
      <c r="E583" s="446" t="s">
        <v>56</v>
      </c>
      <c r="F583" s="453">
        <v>0</v>
      </c>
      <c r="G583" s="453">
        <v>401</v>
      </c>
      <c r="H583" s="453">
        <f>0+401</f>
        <v>401</v>
      </c>
      <c r="I583" s="453">
        <v>0</v>
      </c>
      <c r="J583" s="453"/>
      <c r="K583" s="453">
        <v>0</v>
      </c>
      <c r="L583" s="453">
        <v>0</v>
      </c>
      <c r="M583" s="453"/>
      <c r="N583" s="453">
        <v>0</v>
      </c>
    </row>
    <row r="584" spans="1:14" ht="52.8" x14ac:dyDescent="0.3">
      <c r="A584" s="452"/>
      <c r="B584" s="452"/>
      <c r="C584" s="451" t="s">
        <v>917</v>
      </c>
      <c r="D584" s="448"/>
      <c r="E584" s="449" t="s">
        <v>918</v>
      </c>
      <c r="F584" s="453">
        <f>F585</f>
        <v>0</v>
      </c>
      <c r="G584" s="453">
        <f>G585</f>
        <v>331.1</v>
      </c>
      <c r="H584" s="453">
        <f>H585</f>
        <v>331.1</v>
      </c>
      <c r="I584" s="453">
        <v>0</v>
      </c>
      <c r="J584" s="453"/>
      <c r="K584" s="453">
        <v>0</v>
      </c>
      <c r="L584" s="453">
        <v>0</v>
      </c>
      <c r="M584" s="453"/>
      <c r="N584" s="453">
        <v>0</v>
      </c>
    </row>
    <row r="585" spans="1:14" ht="27" x14ac:dyDescent="0.3">
      <c r="A585" s="452"/>
      <c r="B585" s="452"/>
      <c r="C585" s="445"/>
      <c r="D585" s="445" t="s">
        <v>57</v>
      </c>
      <c r="E585" s="446" t="s">
        <v>56</v>
      </c>
      <c r="F585" s="453">
        <v>0</v>
      </c>
      <c r="G585" s="453">
        <v>331.1</v>
      </c>
      <c r="H585" s="453">
        <f>0+331.1</f>
        <v>331.1</v>
      </c>
      <c r="I585" s="453">
        <v>0</v>
      </c>
      <c r="J585" s="453"/>
      <c r="K585" s="453">
        <v>0</v>
      </c>
      <c r="L585" s="453">
        <v>0</v>
      </c>
      <c r="M585" s="453"/>
      <c r="N585" s="453">
        <v>0</v>
      </c>
    </row>
    <row r="586" spans="1:14" x14ac:dyDescent="0.3">
      <c r="A586" s="223"/>
      <c r="B586" s="223"/>
      <c r="C586" s="369" t="s">
        <v>896</v>
      </c>
      <c r="D586" s="408"/>
      <c r="E586" s="409" t="s">
        <v>874</v>
      </c>
      <c r="F586" s="225">
        <f>F587</f>
        <v>0</v>
      </c>
      <c r="G586" s="225">
        <f>G587</f>
        <v>18400</v>
      </c>
      <c r="H586" s="225">
        <f t="shared" ref="H586:N587" si="84">H587</f>
        <v>18400</v>
      </c>
      <c r="I586" s="225">
        <f t="shared" si="84"/>
        <v>0</v>
      </c>
      <c r="J586" s="225"/>
      <c r="K586" s="225">
        <f t="shared" si="84"/>
        <v>0</v>
      </c>
      <c r="L586" s="225">
        <f t="shared" si="84"/>
        <v>0</v>
      </c>
      <c r="M586" s="225"/>
      <c r="N586" s="225">
        <f t="shared" si="84"/>
        <v>0</v>
      </c>
    </row>
    <row r="587" spans="1:14" ht="26.4" x14ac:dyDescent="0.3">
      <c r="A587" s="405"/>
      <c r="B587" s="405"/>
      <c r="C587" s="362" t="s">
        <v>897</v>
      </c>
      <c r="D587" s="362"/>
      <c r="E587" s="410" t="s">
        <v>228</v>
      </c>
      <c r="F587" s="5">
        <f>F588</f>
        <v>0</v>
      </c>
      <c r="G587" s="5">
        <f>G588</f>
        <v>18400</v>
      </c>
      <c r="H587" s="5">
        <f t="shared" si="84"/>
        <v>18400</v>
      </c>
      <c r="I587" s="5">
        <f t="shared" si="84"/>
        <v>0</v>
      </c>
      <c r="J587" s="5"/>
      <c r="K587" s="5">
        <f t="shared" si="84"/>
        <v>0</v>
      </c>
      <c r="L587" s="5">
        <f t="shared" si="84"/>
        <v>0</v>
      </c>
      <c r="M587" s="5"/>
      <c r="N587" s="5">
        <f t="shared" si="84"/>
        <v>0</v>
      </c>
    </row>
    <row r="588" spans="1:14" ht="27" x14ac:dyDescent="0.3">
      <c r="A588" s="405"/>
      <c r="B588" s="405"/>
      <c r="C588" s="362"/>
      <c r="D588" s="362" t="s">
        <v>57</v>
      </c>
      <c r="E588" s="365" t="s">
        <v>56</v>
      </c>
      <c r="F588" s="382">
        <v>0</v>
      </c>
      <c r="G588" s="5">
        <f>G589+G590</f>
        <v>18400</v>
      </c>
      <c r="H588" s="5">
        <f>H589+H590</f>
        <v>18400</v>
      </c>
      <c r="I588" s="382">
        <v>0</v>
      </c>
      <c r="J588" s="382"/>
      <c r="K588" s="382">
        <v>0</v>
      </c>
      <c r="L588" s="382">
        <v>0</v>
      </c>
      <c r="M588" s="382"/>
      <c r="N588" s="382">
        <v>0</v>
      </c>
    </row>
    <row r="589" spans="1:14" x14ac:dyDescent="0.3">
      <c r="A589" s="405"/>
      <c r="B589" s="405"/>
      <c r="C589" s="362"/>
      <c r="D589" s="362"/>
      <c r="E589" s="365" t="s">
        <v>165</v>
      </c>
      <c r="F589" s="382">
        <v>0</v>
      </c>
      <c r="G589" s="5">
        <v>16560</v>
      </c>
      <c r="H589" s="5">
        <v>16560</v>
      </c>
      <c r="I589" s="382">
        <v>0</v>
      </c>
      <c r="J589" s="382"/>
      <c r="K589" s="382">
        <v>0</v>
      </c>
      <c r="L589" s="382">
        <v>0</v>
      </c>
      <c r="M589" s="382"/>
      <c r="N589" s="382">
        <v>0</v>
      </c>
    </row>
    <row r="590" spans="1:14" x14ac:dyDescent="0.3">
      <c r="A590" s="405"/>
      <c r="B590" s="405"/>
      <c r="C590" s="362"/>
      <c r="D590" s="362"/>
      <c r="E590" s="365" t="s">
        <v>164</v>
      </c>
      <c r="F590" s="382">
        <v>0</v>
      </c>
      <c r="G590" s="5">
        <v>1840</v>
      </c>
      <c r="H590" s="5">
        <v>1840</v>
      </c>
      <c r="I590" s="382">
        <v>0</v>
      </c>
      <c r="J590" s="382"/>
      <c r="K590" s="382">
        <v>0</v>
      </c>
      <c r="L590" s="382">
        <v>0</v>
      </c>
      <c r="M590" s="382"/>
      <c r="N590" s="382">
        <v>0</v>
      </c>
    </row>
    <row r="591" spans="1:14" x14ac:dyDescent="0.3">
      <c r="A591" s="223"/>
      <c r="B591" s="223"/>
      <c r="C591" s="369" t="s">
        <v>898</v>
      </c>
      <c r="D591" s="408"/>
      <c r="E591" s="373" t="s">
        <v>899</v>
      </c>
      <c r="F591" s="225"/>
      <c r="G591" s="225">
        <f>G592</f>
        <v>68054.73487</v>
      </c>
      <c r="H591" s="225">
        <f>H592</f>
        <v>68054.73487</v>
      </c>
      <c r="I591" s="225"/>
      <c r="J591" s="225"/>
      <c r="K591" s="225"/>
      <c r="L591" s="225"/>
      <c r="M591" s="225"/>
      <c r="N591" s="225"/>
    </row>
    <row r="592" spans="1:14" x14ac:dyDescent="0.3">
      <c r="A592" s="405"/>
      <c r="B592" s="405"/>
      <c r="C592" s="411" t="s">
        <v>900</v>
      </c>
      <c r="D592" s="407"/>
      <c r="E592" s="412" t="s">
        <v>901</v>
      </c>
      <c r="F592" s="5">
        <f>F593</f>
        <v>0</v>
      </c>
      <c r="G592" s="5">
        <f>G593</f>
        <v>68054.73487</v>
      </c>
      <c r="H592" s="5">
        <f t="shared" ref="H592:N592" si="85">H593</f>
        <v>68054.73487</v>
      </c>
      <c r="I592" s="5">
        <f t="shared" si="85"/>
        <v>0</v>
      </c>
      <c r="J592" s="5"/>
      <c r="K592" s="5">
        <f t="shared" si="85"/>
        <v>0</v>
      </c>
      <c r="L592" s="5">
        <f t="shared" si="85"/>
        <v>0</v>
      </c>
      <c r="M592" s="5"/>
      <c r="N592" s="5">
        <f t="shared" si="85"/>
        <v>0</v>
      </c>
    </row>
    <row r="593" spans="1:14" ht="27" x14ac:dyDescent="0.3">
      <c r="A593" s="405"/>
      <c r="B593" s="405"/>
      <c r="C593" s="407"/>
      <c r="D593" s="362" t="s">
        <v>57</v>
      </c>
      <c r="E593" s="365" t="s">
        <v>56</v>
      </c>
      <c r="F593" s="5">
        <f>F595+F596+F594</f>
        <v>0</v>
      </c>
      <c r="G593" s="5">
        <f>G595+G596+G594</f>
        <v>68054.73487</v>
      </c>
      <c r="H593" s="5">
        <f t="shared" ref="H593:N593" si="86">H595+H596+H594</f>
        <v>68054.73487</v>
      </c>
      <c r="I593" s="5">
        <f t="shared" si="86"/>
        <v>0</v>
      </c>
      <c r="J593" s="5"/>
      <c r="K593" s="5">
        <f t="shared" si="86"/>
        <v>0</v>
      </c>
      <c r="L593" s="5">
        <f t="shared" si="86"/>
        <v>0</v>
      </c>
      <c r="M593" s="5"/>
      <c r="N593" s="5">
        <f t="shared" si="86"/>
        <v>0</v>
      </c>
    </row>
    <row r="594" spans="1:14" x14ac:dyDescent="0.3">
      <c r="A594" s="405"/>
      <c r="B594" s="405"/>
      <c r="C594" s="407"/>
      <c r="D594" s="362"/>
      <c r="E594" s="365" t="s">
        <v>761</v>
      </c>
      <c r="F594" s="382">
        <v>0</v>
      </c>
      <c r="G594" s="5">
        <v>48355.3</v>
      </c>
      <c r="H594" s="5">
        <v>48355.3</v>
      </c>
      <c r="I594" s="382">
        <v>0</v>
      </c>
      <c r="J594" s="382"/>
      <c r="K594" s="382">
        <v>0</v>
      </c>
      <c r="L594" s="382">
        <v>0</v>
      </c>
      <c r="M594" s="382"/>
      <c r="N594" s="382">
        <v>0</v>
      </c>
    </row>
    <row r="595" spans="1:14" x14ac:dyDescent="0.3">
      <c r="A595" s="405"/>
      <c r="B595" s="405"/>
      <c r="C595" s="407"/>
      <c r="D595" s="362"/>
      <c r="E595" s="365" t="s">
        <v>238</v>
      </c>
      <c r="F595" s="382">
        <v>0</v>
      </c>
      <c r="G595" s="5">
        <v>14443.79091</v>
      </c>
      <c r="H595" s="5">
        <v>14443.79091</v>
      </c>
      <c r="I595" s="382">
        <v>0</v>
      </c>
      <c r="J595" s="382"/>
      <c r="K595" s="382">
        <v>0</v>
      </c>
      <c r="L595" s="382">
        <v>0</v>
      </c>
      <c r="M595" s="382"/>
      <c r="N595" s="382">
        <v>0</v>
      </c>
    </row>
    <row r="596" spans="1:14" x14ac:dyDescent="0.3">
      <c r="A596" s="405"/>
      <c r="B596" s="405"/>
      <c r="C596" s="407"/>
      <c r="D596" s="362"/>
      <c r="E596" s="365" t="s">
        <v>77</v>
      </c>
      <c r="F596" s="382">
        <v>0</v>
      </c>
      <c r="G596" s="5">
        <v>5255.6439600000003</v>
      </c>
      <c r="H596" s="5">
        <v>5255.6439600000003</v>
      </c>
      <c r="I596" s="382">
        <v>0</v>
      </c>
      <c r="J596" s="382"/>
      <c r="K596" s="382">
        <v>0</v>
      </c>
      <c r="L596" s="382">
        <v>0</v>
      </c>
      <c r="M596" s="382"/>
      <c r="N596" s="382">
        <v>0</v>
      </c>
    </row>
    <row r="597" spans="1:14" ht="26.4" x14ac:dyDescent="0.3">
      <c r="A597" s="54"/>
      <c r="B597" s="34"/>
      <c r="C597" s="35" t="s">
        <v>313</v>
      </c>
      <c r="D597" s="34"/>
      <c r="E597" s="33" t="s">
        <v>312</v>
      </c>
      <c r="F597" s="32">
        <f>F598</f>
        <v>0</v>
      </c>
      <c r="G597" s="32"/>
      <c r="H597" s="32">
        <f t="shared" ref="H597:L597" si="87">H598</f>
        <v>0</v>
      </c>
      <c r="I597" s="32">
        <f t="shared" si="87"/>
        <v>0</v>
      </c>
      <c r="J597" s="32">
        <f t="shared" si="87"/>
        <v>1422.3</v>
      </c>
      <c r="K597" s="32">
        <f t="shared" si="87"/>
        <v>1422.3</v>
      </c>
      <c r="L597" s="32">
        <f t="shared" si="87"/>
        <v>0</v>
      </c>
      <c r="M597" s="32"/>
      <c r="N597" s="32">
        <f>N598+N602</f>
        <v>0</v>
      </c>
    </row>
    <row r="598" spans="1:14" ht="27" x14ac:dyDescent="0.3">
      <c r="A598" s="31"/>
      <c r="B598" s="31"/>
      <c r="C598" s="31" t="s">
        <v>311</v>
      </c>
      <c r="D598" s="31"/>
      <c r="E598" s="83" t="s">
        <v>310</v>
      </c>
      <c r="F598" s="29">
        <f t="shared" ref="F598:N599" si="88">F599</f>
        <v>0</v>
      </c>
      <c r="G598" s="29"/>
      <c r="H598" s="29">
        <f t="shared" si="88"/>
        <v>0</v>
      </c>
      <c r="I598" s="29">
        <f t="shared" si="88"/>
        <v>0</v>
      </c>
      <c r="J598" s="29">
        <f t="shared" si="88"/>
        <v>1422.3</v>
      </c>
      <c r="K598" s="29">
        <f t="shared" si="88"/>
        <v>1422.3</v>
      </c>
      <c r="L598" s="29">
        <f t="shared" si="88"/>
        <v>0</v>
      </c>
      <c r="M598" s="29"/>
      <c r="N598" s="29">
        <f t="shared" si="88"/>
        <v>0</v>
      </c>
    </row>
    <row r="599" spans="1:14" x14ac:dyDescent="0.3">
      <c r="A599" s="223"/>
      <c r="B599" s="223"/>
      <c r="C599" s="223" t="s">
        <v>309</v>
      </c>
      <c r="D599" s="231"/>
      <c r="E599" s="236" t="s">
        <v>308</v>
      </c>
      <c r="F599" s="225">
        <f t="shared" si="88"/>
        <v>0</v>
      </c>
      <c r="G599" s="225"/>
      <c r="H599" s="225">
        <f t="shared" si="88"/>
        <v>0</v>
      </c>
      <c r="I599" s="225">
        <f t="shared" si="88"/>
        <v>0</v>
      </c>
      <c r="J599" s="225">
        <f t="shared" si="88"/>
        <v>1422.3</v>
      </c>
      <c r="K599" s="225">
        <f t="shared" si="88"/>
        <v>1422.3</v>
      </c>
      <c r="L599" s="225">
        <f t="shared" si="88"/>
        <v>0</v>
      </c>
      <c r="M599" s="225"/>
      <c r="N599" s="225">
        <f t="shared" si="88"/>
        <v>0</v>
      </c>
    </row>
    <row r="600" spans="1:14" x14ac:dyDescent="0.3">
      <c r="A600" s="8"/>
      <c r="B600" s="8"/>
      <c r="C600" s="7" t="s">
        <v>368</v>
      </c>
      <c r="D600" s="75"/>
      <c r="E600" s="12" t="s">
        <v>367</v>
      </c>
      <c r="F600" s="5">
        <f>F601</f>
        <v>0</v>
      </c>
      <c r="G600" s="5"/>
      <c r="H600" s="5">
        <f>H601</f>
        <v>0</v>
      </c>
      <c r="I600" s="5">
        <f>I601</f>
        <v>0</v>
      </c>
      <c r="J600" s="5">
        <f>J601</f>
        <v>1422.3</v>
      </c>
      <c r="K600" s="5">
        <f>K601</f>
        <v>1422.3</v>
      </c>
      <c r="L600" s="5">
        <v>0</v>
      </c>
      <c r="M600" s="5"/>
      <c r="N600" s="5">
        <v>0</v>
      </c>
    </row>
    <row r="601" spans="1:14" ht="27" x14ac:dyDescent="0.3">
      <c r="A601" s="8"/>
      <c r="B601" s="8"/>
      <c r="C601" s="7"/>
      <c r="D601" s="362" t="s">
        <v>57</v>
      </c>
      <c r="E601" s="365" t="s">
        <v>56</v>
      </c>
      <c r="F601" s="5">
        <v>0</v>
      </c>
      <c r="G601" s="5"/>
      <c r="H601" s="5">
        <v>0</v>
      </c>
      <c r="I601" s="5">
        <v>0</v>
      </c>
      <c r="J601" s="382">
        <v>1422.3</v>
      </c>
      <c r="K601" s="5">
        <f>0+1422.3</f>
        <v>1422.3</v>
      </c>
      <c r="L601" s="5">
        <v>0</v>
      </c>
      <c r="M601" s="5"/>
      <c r="N601" s="5">
        <v>0</v>
      </c>
    </row>
    <row r="602" spans="1:14" x14ac:dyDescent="0.3">
      <c r="A602" s="18"/>
      <c r="B602" s="18"/>
      <c r="C602" s="18" t="s">
        <v>18</v>
      </c>
      <c r="D602" s="18"/>
      <c r="E602" s="17" t="s">
        <v>17</v>
      </c>
      <c r="F602" s="16">
        <f t="shared" ref="F602:I603" si="89">F603</f>
        <v>0</v>
      </c>
      <c r="G602" s="16">
        <f t="shared" si="89"/>
        <v>350.3</v>
      </c>
      <c r="H602" s="16">
        <f t="shared" si="89"/>
        <v>350.3</v>
      </c>
      <c r="I602" s="16">
        <f t="shared" si="89"/>
        <v>0</v>
      </c>
      <c r="J602" s="16"/>
      <c r="K602" s="16">
        <f>K603</f>
        <v>0</v>
      </c>
      <c r="L602" s="16">
        <f>L603</f>
        <v>0</v>
      </c>
      <c r="M602" s="16"/>
      <c r="N602" s="16">
        <f>N603</f>
        <v>0</v>
      </c>
    </row>
    <row r="603" spans="1:14" ht="27" x14ac:dyDescent="0.3">
      <c r="A603" s="15"/>
      <c r="B603" s="15"/>
      <c r="C603" s="15" t="s">
        <v>16</v>
      </c>
      <c r="D603" s="15"/>
      <c r="E603" s="14" t="s">
        <v>15</v>
      </c>
      <c r="F603" s="13">
        <f t="shared" si="89"/>
        <v>0</v>
      </c>
      <c r="G603" s="13">
        <f t="shared" si="89"/>
        <v>350.3</v>
      </c>
      <c r="H603" s="13">
        <f t="shared" si="89"/>
        <v>350.3</v>
      </c>
      <c r="I603" s="13">
        <f t="shared" si="89"/>
        <v>0</v>
      </c>
      <c r="J603" s="13"/>
      <c r="K603" s="13">
        <f>K604</f>
        <v>0</v>
      </c>
      <c r="L603" s="13">
        <f>L604</f>
        <v>0</v>
      </c>
      <c r="M603" s="13"/>
      <c r="N603" s="13">
        <f>N604</f>
        <v>0</v>
      </c>
    </row>
    <row r="604" spans="1:14" x14ac:dyDescent="0.3">
      <c r="A604" s="8"/>
      <c r="B604" s="8"/>
      <c r="C604" s="55" t="s">
        <v>535</v>
      </c>
      <c r="D604" s="55"/>
      <c r="E604" s="10" t="s">
        <v>534</v>
      </c>
      <c r="F604" s="9">
        <f>F605</f>
        <v>0</v>
      </c>
      <c r="G604" s="9">
        <f>G605</f>
        <v>350.3</v>
      </c>
      <c r="H604" s="9">
        <f>H605</f>
        <v>350.3</v>
      </c>
      <c r="I604" s="9">
        <v>0</v>
      </c>
      <c r="J604" s="380"/>
      <c r="K604" s="9">
        <v>0</v>
      </c>
      <c r="L604" s="9">
        <v>0</v>
      </c>
      <c r="M604" s="9"/>
      <c r="N604" s="9">
        <v>0</v>
      </c>
    </row>
    <row r="605" spans="1:14" ht="27" x14ac:dyDescent="0.3">
      <c r="A605" s="8"/>
      <c r="B605" s="8"/>
      <c r="C605" s="55"/>
      <c r="D605" s="7" t="s">
        <v>57</v>
      </c>
      <c r="E605" s="6" t="s">
        <v>56</v>
      </c>
      <c r="F605" s="9">
        <v>0</v>
      </c>
      <c r="G605" s="9">
        <v>350.3</v>
      </c>
      <c r="H605" s="9">
        <f>0+350.3</f>
        <v>350.3</v>
      </c>
      <c r="I605" s="9">
        <f>1193.9-1193.9</f>
        <v>0</v>
      </c>
      <c r="J605" s="380"/>
      <c r="K605" s="9">
        <f>1193.9-1193.9</f>
        <v>0</v>
      </c>
      <c r="L605" s="9">
        <f>1243.6-1243.6</f>
        <v>0</v>
      </c>
      <c r="M605" s="9"/>
      <c r="N605" s="9">
        <f>1243.6-1243.6</f>
        <v>0</v>
      </c>
    </row>
    <row r="606" spans="1:14" x14ac:dyDescent="0.3">
      <c r="A606" s="37"/>
      <c r="B606" s="23" t="s">
        <v>160</v>
      </c>
      <c r="C606" s="22"/>
      <c r="D606" s="23"/>
      <c r="E606" s="28" t="s">
        <v>159</v>
      </c>
      <c r="F606" s="27">
        <f t="shared" ref="F606:N609" si="90">F607</f>
        <v>34668.400000000001</v>
      </c>
      <c r="G606" s="27"/>
      <c r="H606" s="27">
        <f t="shared" si="90"/>
        <v>34668.400000000001</v>
      </c>
      <c r="I606" s="27">
        <f t="shared" si="90"/>
        <v>34668.400000000001</v>
      </c>
      <c r="J606" s="381"/>
      <c r="K606" s="27">
        <f t="shared" si="90"/>
        <v>34668.400000000001</v>
      </c>
      <c r="L606" s="27">
        <f t="shared" si="90"/>
        <v>34668.400000000001</v>
      </c>
      <c r="M606" s="27"/>
      <c r="N606" s="27">
        <f t="shared" si="90"/>
        <v>34668.400000000001</v>
      </c>
    </row>
    <row r="607" spans="1:14" x14ac:dyDescent="0.3">
      <c r="A607" s="37"/>
      <c r="B607" s="23"/>
      <c r="C607" s="22" t="s">
        <v>36</v>
      </c>
      <c r="D607" s="21"/>
      <c r="E607" s="28" t="s">
        <v>35</v>
      </c>
      <c r="F607" s="27">
        <f t="shared" si="90"/>
        <v>34668.400000000001</v>
      </c>
      <c r="G607" s="27"/>
      <c r="H607" s="27">
        <f t="shared" si="90"/>
        <v>34668.400000000001</v>
      </c>
      <c r="I607" s="27">
        <f t="shared" si="90"/>
        <v>34668.400000000001</v>
      </c>
      <c r="J607" s="381"/>
      <c r="K607" s="27">
        <f t="shared" si="90"/>
        <v>34668.400000000001</v>
      </c>
      <c r="L607" s="27">
        <f t="shared" si="90"/>
        <v>34668.400000000001</v>
      </c>
      <c r="M607" s="27"/>
      <c r="N607" s="27">
        <f t="shared" si="90"/>
        <v>34668.400000000001</v>
      </c>
    </row>
    <row r="608" spans="1:14" ht="26.4" x14ac:dyDescent="0.3">
      <c r="A608" s="54"/>
      <c r="B608" s="34"/>
      <c r="C608" s="35" t="s">
        <v>87</v>
      </c>
      <c r="D608" s="34"/>
      <c r="E608" s="33" t="s">
        <v>227</v>
      </c>
      <c r="F608" s="32">
        <f t="shared" si="90"/>
        <v>34668.400000000001</v>
      </c>
      <c r="G608" s="32"/>
      <c r="H608" s="32">
        <f t="shared" si="90"/>
        <v>34668.400000000001</v>
      </c>
      <c r="I608" s="32">
        <f t="shared" si="90"/>
        <v>34668.400000000001</v>
      </c>
      <c r="J608" s="377"/>
      <c r="K608" s="32">
        <f t="shared" si="90"/>
        <v>34668.400000000001</v>
      </c>
      <c r="L608" s="32">
        <f t="shared" si="90"/>
        <v>34668.400000000001</v>
      </c>
      <c r="M608" s="32"/>
      <c r="N608" s="32">
        <f t="shared" si="90"/>
        <v>34668.400000000001</v>
      </c>
    </row>
    <row r="609" spans="1:14" x14ac:dyDescent="0.3">
      <c r="A609" s="31"/>
      <c r="B609" s="31"/>
      <c r="C609" s="31" t="s">
        <v>222</v>
      </c>
      <c r="D609" s="31"/>
      <c r="E609" s="52" t="s">
        <v>221</v>
      </c>
      <c r="F609" s="29">
        <f t="shared" si="90"/>
        <v>34668.400000000001</v>
      </c>
      <c r="G609" s="29"/>
      <c r="H609" s="29">
        <f t="shared" si="90"/>
        <v>34668.400000000001</v>
      </c>
      <c r="I609" s="29">
        <f t="shared" si="90"/>
        <v>34668.400000000001</v>
      </c>
      <c r="J609" s="378"/>
      <c r="K609" s="29">
        <f t="shared" si="90"/>
        <v>34668.400000000001</v>
      </c>
      <c r="L609" s="29">
        <f t="shared" si="90"/>
        <v>34668.400000000001</v>
      </c>
      <c r="M609" s="29"/>
      <c r="N609" s="29">
        <f t="shared" si="90"/>
        <v>34668.400000000001</v>
      </c>
    </row>
    <row r="610" spans="1:14" ht="27" x14ac:dyDescent="0.3">
      <c r="A610" s="223"/>
      <c r="B610" s="223"/>
      <c r="C610" s="223" t="s">
        <v>220</v>
      </c>
      <c r="D610" s="231"/>
      <c r="E610" s="224" t="s">
        <v>219</v>
      </c>
      <c r="F610" s="225">
        <f>F611+F613</f>
        <v>34668.400000000001</v>
      </c>
      <c r="G610" s="225"/>
      <c r="H610" s="225">
        <f>H611+H613</f>
        <v>34668.400000000001</v>
      </c>
      <c r="I610" s="225">
        <f>I611+I613</f>
        <v>34668.400000000001</v>
      </c>
      <c r="J610" s="379"/>
      <c r="K610" s="225">
        <f>K611+K613</f>
        <v>34668.400000000001</v>
      </c>
      <c r="L610" s="225">
        <f>L611+L613</f>
        <v>34668.400000000001</v>
      </c>
      <c r="M610" s="225"/>
      <c r="N610" s="225">
        <f>N611+N613</f>
        <v>34668.400000000001</v>
      </c>
    </row>
    <row r="611" spans="1:14" ht="30" customHeight="1" x14ac:dyDescent="0.3">
      <c r="A611" s="8"/>
      <c r="B611" s="8"/>
      <c r="C611" s="7" t="s">
        <v>226</v>
      </c>
      <c r="D611" s="61"/>
      <c r="E611" s="6" t="s">
        <v>225</v>
      </c>
      <c r="F611" s="9">
        <f>F612</f>
        <v>21343</v>
      </c>
      <c r="G611" s="9"/>
      <c r="H611" s="9">
        <f>H612</f>
        <v>21343</v>
      </c>
      <c r="I611" s="9">
        <f>I612</f>
        <v>21343</v>
      </c>
      <c r="J611" s="380"/>
      <c r="K611" s="9">
        <f>K612</f>
        <v>21343</v>
      </c>
      <c r="L611" s="9">
        <f>L612</f>
        <v>21343</v>
      </c>
      <c r="M611" s="9"/>
      <c r="N611" s="9">
        <f>N612</f>
        <v>21343</v>
      </c>
    </row>
    <row r="612" spans="1:14" ht="27" x14ac:dyDescent="0.3">
      <c r="A612" s="8"/>
      <c r="B612" s="8"/>
      <c r="C612" s="7"/>
      <c r="D612" s="7" t="s">
        <v>57</v>
      </c>
      <c r="E612" s="6" t="s">
        <v>56</v>
      </c>
      <c r="F612" s="9">
        <v>21343</v>
      </c>
      <c r="G612" s="9"/>
      <c r="H612" s="9">
        <v>21343</v>
      </c>
      <c r="I612" s="9">
        <v>21343</v>
      </c>
      <c r="J612" s="380"/>
      <c r="K612" s="9">
        <v>21343</v>
      </c>
      <c r="L612" s="9">
        <v>21343</v>
      </c>
      <c r="M612" s="9"/>
      <c r="N612" s="9">
        <v>21343</v>
      </c>
    </row>
    <row r="613" spans="1:14" ht="27" customHeight="1" x14ac:dyDescent="0.3">
      <c r="A613" s="8"/>
      <c r="B613" s="8"/>
      <c r="C613" s="7" t="s">
        <v>224</v>
      </c>
      <c r="D613" s="61"/>
      <c r="E613" s="6" t="s">
        <v>223</v>
      </c>
      <c r="F613" s="9">
        <f>F614</f>
        <v>13325.4</v>
      </c>
      <c r="G613" s="9"/>
      <c r="H613" s="9">
        <f>H614</f>
        <v>13325.4</v>
      </c>
      <c r="I613" s="9">
        <f>I614</f>
        <v>13325.4</v>
      </c>
      <c r="J613" s="380"/>
      <c r="K613" s="9">
        <f>K614</f>
        <v>13325.4</v>
      </c>
      <c r="L613" s="9">
        <f>L614</f>
        <v>13325.4</v>
      </c>
      <c r="M613" s="9"/>
      <c r="N613" s="9">
        <f>N614</f>
        <v>13325.4</v>
      </c>
    </row>
    <row r="614" spans="1:14" ht="27" x14ac:dyDescent="0.3">
      <c r="A614" s="8"/>
      <c r="B614" s="8"/>
      <c r="C614" s="7"/>
      <c r="D614" s="7" t="s">
        <v>57</v>
      </c>
      <c r="E614" s="6" t="s">
        <v>56</v>
      </c>
      <c r="F614" s="9">
        <v>13325.4</v>
      </c>
      <c r="G614" s="9"/>
      <c r="H614" s="9">
        <v>13325.4</v>
      </c>
      <c r="I614" s="9">
        <v>13325.4</v>
      </c>
      <c r="J614" s="380"/>
      <c r="K614" s="9">
        <v>13325.4</v>
      </c>
      <c r="L614" s="9">
        <v>13325.4</v>
      </c>
      <c r="M614" s="9"/>
      <c r="N614" s="9">
        <v>13325.4</v>
      </c>
    </row>
    <row r="615" spans="1:14" x14ac:dyDescent="0.3">
      <c r="A615" s="37"/>
      <c r="B615" s="23" t="s">
        <v>144</v>
      </c>
      <c r="C615" s="22"/>
      <c r="D615" s="23"/>
      <c r="E615" s="28" t="s">
        <v>143</v>
      </c>
      <c r="F615" s="27">
        <f>F616</f>
        <v>14464</v>
      </c>
      <c r="G615" s="27"/>
      <c r="H615" s="27">
        <f>H616</f>
        <v>14464</v>
      </c>
      <c r="I615" s="27">
        <f>I616</f>
        <v>14519.2</v>
      </c>
      <c r="J615" s="381"/>
      <c r="K615" s="27">
        <f>K616</f>
        <v>14519.2</v>
      </c>
      <c r="L615" s="27">
        <f>L616</f>
        <v>14729.6</v>
      </c>
      <c r="M615" s="27"/>
      <c r="N615" s="27">
        <f>N616</f>
        <v>14729.6</v>
      </c>
    </row>
    <row r="616" spans="1:14" x14ac:dyDescent="0.3">
      <c r="A616" s="37"/>
      <c r="B616" s="23"/>
      <c r="C616" s="22" t="s">
        <v>36</v>
      </c>
      <c r="D616" s="23"/>
      <c r="E616" s="28" t="s">
        <v>35</v>
      </c>
      <c r="F616" s="27">
        <f>F617+F623</f>
        <v>14464</v>
      </c>
      <c r="G616" s="27"/>
      <c r="H616" s="27">
        <f>H617+H623</f>
        <v>14464</v>
      </c>
      <c r="I616" s="27">
        <f>I617+I623</f>
        <v>14519.2</v>
      </c>
      <c r="J616" s="381"/>
      <c r="K616" s="27">
        <f>K617+K623</f>
        <v>14519.2</v>
      </c>
      <c r="L616" s="27">
        <f>L617+L623</f>
        <v>14729.6</v>
      </c>
      <c r="M616" s="27"/>
      <c r="N616" s="27">
        <f>N617+N623</f>
        <v>14729.6</v>
      </c>
    </row>
    <row r="617" spans="1:14" ht="26.4" x14ac:dyDescent="0.3">
      <c r="A617" s="54"/>
      <c r="B617" s="34"/>
      <c r="C617" s="35" t="s">
        <v>34</v>
      </c>
      <c r="D617" s="34"/>
      <c r="E617" s="33" t="s">
        <v>33</v>
      </c>
      <c r="F617" s="32">
        <f t="shared" ref="F617:N619" si="91">F618</f>
        <v>7108.8</v>
      </c>
      <c r="G617" s="32"/>
      <c r="H617" s="32">
        <f t="shared" si="91"/>
        <v>7108.8</v>
      </c>
      <c r="I617" s="32">
        <f t="shared" si="91"/>
        <v>7164</v>
      </c>
      <c r="J617" s="377"/>
      <c r="K617" s="32">
        <f t="shared" si="91"/>
        <v>7164</v>
      </c>
      <c r="L617" s="32">
        <f t="shared" si="91"/>
        <v>7374.4</v>
      </c>
      <c r="M617" s="32"/>
      <c r="N617" s="32">
        <f t="shared" si="91"/>
        <v>7374.4</v>
      </c>
    </row>
    <row r="618" spans="1:14" ht="27" x14ac:dyDescent="0.3">
      <c r="A618" s="31"/>
      <c r="B618" s="31"/>
      <c r="C618" s="31" t="s">
        <v>32</v>
      </c>
      <c r="D618" s="31"/>
      <c r="E618" s="30" t="s">
        <v>31</v>
      </c>
      <c r="F618" s="29">
        <f t="shared" si="91"/>
        <v>7108.8</v>
      </c>
      <c r="G618" s="29"/>
      <c r="H618" s="29">
        <f t="shared" si="91"/>
        <v>7108.8</v>
      </c>
      <c r="I618" s="29">
        <f t="shared" si="91"/>
        <v>7164</v>
      </c>
      <c r="J618" s="378"/>
      <c r="K618" s="29">
        <f t="shared" si="91"/>
        <v>7164</v>
      </c>
      <c r="L618" s="29">
        <f t="shared" si="91"/>
        <v>7374.4</v>
      </c>
      <c r="M618" s="29"/>
      <c r="N618" s="29">
        <f t="shared" si="91"/>
        <v>7374.4</v>
      </c>
    </row>
    <row r="619" spans="1:14" ht="40.200000000000003" x14ac:dyDescent="0.3">
      <c r="A619" s="223"/>
      <c r="B619" s="223"/>
      <c r="C619" s="223" t="s">
        <v>30</v>
      </c>
      <c r="D619" s="223"/>
      <c r="E619" s="224" t="s">
        <v>29</v>
      </c>
      <c r="F619" s="225">
        <f t="shared" si="91"/>
        <v>7108.8</v>
      </c>
      <c r="G619" s="225"/>
      <c r="H619" s="225">
        <f t="shared" si="91"/>
        <v>7108.8</v>
      </c>
      <c r="I619" s="225">
        <f t="shared" si="91"/>
        <v>7164</v>
      </c>
      <c r="J619" s="379"/>
      <c r="K619" s="225">
        <f t="shared" si="91"/>
        <v>7164</v>
      </c>
      <c r="L619" s="225">
        <f t="shared" si="91"/>
        <v>7374.4</v>
      </c>
      <c r="M619" s="225"/>
      <c r="N619" s="225">
        <f t="shared" si="91"/>
        <v>7374.4</v>
      </c>
    </row>
    <row r="620" spans="1:14" ht="26.4" x14ac:dyDescent="0.3">
      <c r="A620" s="8"/>
      <c r="B620" s="8"/>
      <c r="C620" s="7" t="s">
        <v>28</v>
      </c>
      <c r="D620" s="7"/>
      <c r="E620" s="10" t="s">
        <v>27</v>
      </c>
      <c r="F620" s="9">
        <f>F621+F622</f>
        <v>7108.8</v>
      </c>
      <c r="G620" s="9"/>
      <c r="H620" s="9">
        <f>H621+H622</f>
        <v>7108.8</v>
      </c>
      <c r="I620" s="9">
        <f>I621+I622</f>
        <v>7164</v>
      </c>
      <c r="J620" s="380"/>
      <c r="K620" s="9">
        <f>K621+K622</f>
        <v>7164</v>
      </c>
      <c r="L620" s="9">
        <f>L621+L622</f>
        <v>7374.4</v>
      </c>
      <c r="M620" s="9"/>
      <c r="N620" s="9">
        <f>N621+N622</f>
        <v>7374.4</v>
      </c>
    </row>
    <row r="621" spans="1:14" ht="40.200000000000003" x14ac:dyDescent="0.3">
      <c r="A621" s="8"/>
      <c r="B621" s="8"/>
      <c r="C621" s="7"/>
      <c r="D621" s="7" t="s">
        <v>2</v>
      </c>
      <c r="E621" s="6" t="s">
        <v>1</v>
      </c>
      <c r="F621" s="9">
        <f>6634.1+264.3</f>
        <v>6898.4000000000005</v>
      </c>
      <c r="G621" s="9"/>
      <c r="H621" s="9">
        <f>6634.1+264.3</f>
        <v>6898.4000000000005</v>
      </c>
      <c r="I621" s="9">
        <f>6864.9+299.1</f>
        <v>7164</v>
      </c>
      <c r="J621" s="380"/>
      <c r="K621" s="9">
        <f>6864.9+299.1</f>
        <v>7164</v>
      </c>
      <c r="L621" s="9">
        <f>6864.9+299.1</f>
        <v>7164</v>
      </c>
      <c r="M621" s="9"/>
      <c r="N621" s="9">
        <f>6864.9+299.1</f>
        <v>7164</v>
      </c>
    </row>
    <row r="622" spans="1:14" x14ac:dyDescent="0.3">
      <c r="A622" s="8"/>
      <c r="B622" s="8"/>
      <c r="C622" s="7"/>
      <c r="D622" s="7" t="s">
        <v>12</v>
      </c>
      <c r="E622" s="6" t="s">
        <v>11</v>
      </c>
      <c r="F622" s="9">
        <v>210.4</v>
      </c>
      <c r="G622" s="9"/>
      <c r="H622" s="9">
        <v>210.4</v>
      </c>
      <c r="I622" s="9">
        <v>0</v>
      </c>
      <c r="J622" s="380"/>
      <c r="K622" s="9">
        <v>0</v>
      </c>
      <c r="L622" s="9">
        <v>210.4</v>
      </c>
      <c r="M622" s="9"/>
      <c r="N622" s="9">
        <v>210.4</v>
      </c>
    </row>
    <row r="623" spans="1:14" ht="26.4" x14ac:dyDescent="0.3">
      <c r="A623" s="54"/>
      <c r="B623" s="34"/>
      <c r="C623" s="35" t="s">
        <v>87</v>
      </c>
      <c r="D623" s="34"/>
      <c r="E623" s="33" t="s">
        <v>86</v>
      </c>
      <c r="F623" s="32">
        <f>F624+F646+F652+F636</f>
        <v>7355.2000000000007</v>
      </c>
      <c r="G623" s="32"/>
      <c r="H623" s="32">
        <f>H624+H646+H652+H636</f>
        <v>7355.2000000000007</v>
      </c>
      <c r="I623" s="32">
        <f>I624+I646+I652+I636</f>
        <v>7355.2000000000007</v>
      </c>
      <c r="J623" s="377"/>
      <c r="K623" s="32">
        <f>K624+K646+K652+K636</f>
        <v>7355.2000000000007</v>
      </c>
      <c r="L623" s="32">
        <f>L624+L646+L652+L636</f>
        <v>7355.2000000000007</v>
      </c>
      <c r="M623" s="32"/>
      <c r="N623" s="32">
        <f>N624+N646+N652+N636</f>
        <v>7355.2000000000007</v>
      </c>
    </row>
    <row r="624" spans="1:14" x14ac:dyDescent="0.3">
      <c r="A624" s="31"/>
      <c r="B624" s="31"/>
      <c r="C624" s="31" t="s">
        <v>222</v>
      </c>
      <c r="D624" s="31"/>
      <c r="E624" s="30" t="s">
        <v>221</v>
      </c>
      <c r="F624" s="29">
        <f>F625</f>
        <v>741.09999999999991</v>
      </c>
      <c r="G624" s="29"/>
      <c r="H624" s="29">
        <f>H625</f>
        <v>741.09999999999991</v>
      </c>
      <c r="I624" s="29">
        <f>I625</f>
        <v>741.09999999999991</v>
      </c>
      <c r="J624" s="378"/>
      <c r="K624" s="29">
        <f>K625</f>
        <v>741.09999999999991</v>
      </c>
      <c r="L624" s="29">
        <f>L625</f>
        <v>741.09999999999991</v>
      </c>
      <c r="M624" s="29"/>
      <c r="N624" s="29">
        <f>N625</f>
        <v>741.09999999999991</v>
      </c>
    </row>
    <row r="625" spans="1:14" ht="27" x14ac:dyDescent="0.3">
      <c r="A625" s="223"/>
      <c r="B625" s="223"/>
      <c r="C625" s="223" t="s">
        <v>220</v>
      </c>
      <c r="D625" s="223"/>
      <c r="E625" s="224" t="s">
        <v>219</v>
      </c>
      <c r="F625" s="225">
        <f>F626+F628+F630+F632+F634</f>
        <v>741.09999999999991</v>
      </c>
      <c r="G625" s="225"/>
      <c r="H625" s="225">
        <f>H626+H628+H630+H632+H634</f>
        <v>741.09999999999991</v>
      </c>
      <c r="I625" s="225">
        <f>I626+I628+I630+I632+I634</f>
        <v>741.09999999999991</v>
      </c>
      <c r="J625" s="379"/>
      <c r="K625" s="225">
        <f>K626+K628+K630+K632+K634</f>
        <v>741.09999999999991</v>
      </c>
      <c r="L625" s="225">
        <f>L626+L628+L630+L632+L634</f>
        <v>741.09999999999991</v>
      </c>
      <c r="M625" s="225"/>
      <c r="N625" s="225">
        <f>N626+N628+N630+N632+N634</f>
        <v>741.09999999999991</v>
      </c>
    </row>
    <row r="626" spans="1:14" x14ac:dyDescent="0.3">
      <c r="A626" s="8"/>
      <c r="B626" s="8"/>
      <c r="C626" s="7" t="s">
        <v>218</v>
      </c>
      <c r="D626" s="7"/>
      <c r="E626" s="6" t="s">
        <v>217</v>
      </c>
      <c r="F626" s="9">
        <f>F627</f>
        <v>290.5</v>
      </c>
      <c r="G626" s="9"/>
      <c r="H626" s="9">
        <f>H627</f>
        <v>290.5</v>
      </c>
      <c r="I626" s="9">
        <f>I627</f>
        <v>290.5</v>
      </c>
      <c r="J626" s="380"/>
      <c r="K626" s="9">
        <f>K627</f>
        <v>290.5</v>
      </c>
      <c r="L626" s="9">
        <f>L627</f>
        <v>290.5</v>
      </c>
      <c r="M626" s="9"/>
      <c r="N626" s="9">
        <f>N627</f>
        <v>290.5</v>
      </c>
    </row>
    <row r="627" spans="1:14" ht="27" x14ac:dyDescent="0.3">
      <c r="A627" s="8"/>
      <c r="B627" s="8"/>
      <c r="C627" s="7"/>
      <c r="D627" s="7" t="s">
        <v>57</v>
      </c>
      <c r="E627" s="6" t="s">
        <v>56</v>
      </c>
      <c r="F627" s="9">
        <v>290.5</v>
      </c>
      <c r="G627" s="9"/>
      <c r="H627" s="9">
        <v>290.5</v>
      </c>
      <c r="I627" s="9">
        <v>290.5</v>
      </c>
      <c r="J627" s="380"/>
      <c r="K627" s="9">
        <v>290.5</v>
      </c>
      <c r="L627" s="9">
        <v>290.5</v>
      </c>
      <c r="M627" s="9"/>
      <c r="N627" s="9">
        <v>290.5</v>
      </c>
    </row>
    <row r="628" spans="1:14" x14ac:dyDescent="0.3">
      <c r="A628" s="8"/>
      <c r="B628" s="8"/>
      <c r="C628" s="7" t="s">
        <v>216</v>
      </c>
      <c r="D628" s="7"/>
      <c r="E628" s="6" t="s">
        <v>215</v>
      </c>
      <c r="F628" s="9">
        <f>F629</f>
        <v>120.3</v>
      </c>
      <c r="G628" s="9"/>
      <c r="H628" s="9">
        <f>H629</f>
        <v>120.3</v>
      </c>
      <c r="I628" s="9">
        <f>I629</f>
        <v>120.3</v>
      </c>
      <c r="J628" s="380"/>
      <c r="K628" s="9">
        <f>K629</f>
        <v>120.3</v>
      </c>
      <c r="L628" s="9">
        <f>L629</f>
        <v>120.3</v>
      </c>
      <c r="M628" s="9"/>
      <c r="N628" s="9">
        <f>N629</f>
        <v>120.3</v>
      </c>
    </row>
    <row r="629" spans="1:14" ht="27" x14ac:dyDescent="0.3">
      <c r="A629" s="8"/>
      <c r="B629" s="8"/>
      <c r="C629" s="7"/>
      <c r="D629" s="7" t="s">
        <v>57</v>
      </c>
      <c r="E629" s="6" t="s">
        <v>56</v>
      </c>
      <c r="F629" s="9">
        <v>120.3</v>
      </c>
      <c r="G629" s="9"/>
      <c r="H629" s="9">
        <v>120.3</v>
      </c>
      <c r="I629" s="9">
        <v>120.3</v>
      </c>
      <c r="J629" s="380"/>
      <c r="K629" s="9">
        <v>120.3</v>
      </c>
      <c r="L629" s="9">
        <v>120.3</v>
      </c>
      <c r="M629" s="9"/>
      <c r="N629" s="9">
        <v>120.3</v>
      </c>
    </row>
    <row r="630" spans="1:14" x14ac:dyDescent="0.3">
      <c r="A630" s="8"/>
      <c r="B630" s="8"/>
      <c r="C630" s="7" t="s">
        <v>214</v>
      </c>
      <c r="D630" s="7"/>
      <c r="E630" s="6" t="s">
        <v>213</v>
      </c>
      <c r="F630" s="9">
        <f>F631</f>
        <v>70.2</v>
      </c>
      <c r="G630" s="9"/>
      <c r="H630" s="9">
        <f>H631</f>
        <v>70.2</v>
      </c>
      <c r="I630" s="9">
        <f>I631</f>
        <v>70.2</v>
      </c>
      <c r="J630" s="380"/>
      <c r="K630" s="9">
        <f>K631</f>
        <v>70.2</v>
      </c>
      <c r="L630" s="9">
        <f>L631</f>
        <v>70.2</v>
      </c>
      <c r="M630" s="9"/>
      <c r="N630" s="9">
        <f>N631</f>
        <v>70.2</v>
      </c>
    </row>
    <row r="631" spans="1:14" ht="27" x14ac:dyDescent="0.3">
      <c r="A631" s="8"/>
      <c r="B631" s="8"/>
      <c r="C631" s="7"/>
      <c r="D631" s="7" t="s">
        <v>57</v>
      </c>
      <c r="E631" s="6" t="s">
        <v>56</v>
      </c>
      <c r="F631" s="9">
        <v>70.2</v>
      </c>
      <c r="G631" s="9"/>
      <c r="H631" s="9">
        <v>70.2</v>
      </c>
      <c r="I631" s="9">
        <v>70.2</v>
      </c>
      <c r="J631" s="380"/>
      <c r="K631" s="9">
        <v>70.2</v>
      </c>
      <c r="L631" s="9">
        <v>70.2</v>
      </c>
      <c r="M631" s="9"/>
      <c r="N631" s="9">
        <v>70.2</v>
      </c>
    </row>
    <row r="632" spans="1:14" ht="27" customHeight="1" x14ac:dyDescent="0.3">
      <c r="A632" s="8"/>
      <c r="B632" s="8"/>
      <c r="C632" s="7" t="s">
        <v>212</v>
      </c>
      <c r="D632" s="7"/>
      <c r="E632" s="6" t="s">
        <v>211</v>
      </c>
      <c r="F632" s="9">
        <f>F633</f>
        <v>85.9</v>
      </c>
      <c r="G632" s="9"/>
      <c r="H632" s="9">
        <f>H633</f>
        <v>85.9</v>
      </c>
      <c r="I632" s="9">
        <f>I633</f>
        <v>85.9</v>
      </c>
      <c r="J632" s="380"/>
      <c r="K632" s="9">
        <f>K633</f>
        <v>85.9</v>
      </c>
      <c r="L632" s="9">
        <f>L633</f>
        <v>85.9</v>
      </c>
      <c r="M632" s="9"/>
      <c r="N632" s="9">
        <f>N633</f>
        <v>85.9</v>
      </c>
    </row>
    <row r="633" spans="1:14" ht="27" x14ac:dyDescent="0.3">
      <c r="A633" s="8"/>
      <c r="B633" s="8"/>
      <c r="C633" s="7"/>
      <c r="D633" s="7" t="s">
        <v>57</v>
      </c>
      <c r="E633" s="6" t="s">
        <v>56</v>
      </c>
      <c r="F633" s="9">
        <v>85.9</v>
      </c>
      <c r="G633" s="9"/>
      <c r="H633" s="9">
        <v>85.9</v>
      </c>
      <c r="I633" s="9">
        <v>85.9</v>
      </c>
      <c r="J633" s="380"/>
      <c r="K633" s="9">
        <v>85.9</v>
      </c>
      <c r="L633" s="9">
        <v>85.9</v>
      </c>
      <c r="M633" s="9"/>
      <c r="N633" s="9">
        <v>85.9</v>
      </c>
    </row>
    <row r="634" spans="1:14" ht="14.25" customHeight="1" x14ac:dyDescent="0.3">
      <c r="A634" s="8"/>
      <c r="B634" s="8"/>
      <c r="C634" s="7" t="s">
        <v>210</v>
      </c>
      <c r="D634" s="7"/>
      <c r="E634" s="6" t="s">
        <v>209</v>
      </c>
      <c r="F634" s="9">
        <f>F635</f>
        <v>174.2</v>
      </c>
      <c r="G634" s="9"/>
      <c r="H634" s="9">
        <f>H635</f>
        <v>174.2</v>
      </c>
      <c r="I634" s="9">
        <f>I635</f>
        <v>174.2</v>
      </c>
      <c r="J634" s="380"/>
      <c r="K634" s="9">
        <f>K635</f>
        <v>174.2</v>
      </c>
      <c r="L634" s="9">
        <f>L635</f>
        <v>174.2</v>
      </c>
      <c r="M634" s="9"/>
      <c r="N634" s="9">
        <f>N635</f>
        <v>174.2</v>
      </c>
    </row>
    <row r="635" spans="1:14" ht="27" x14ac:dyDescent="0.3">
      <c r="A635" s="8"/>
      <c r="B635" s="8"/>
      <c r="C635" s="7"/>
      <c r="D635" s="7" t="s">
        <v>57</v>
      </c>
      <c r="E635" s="6" t="s">
        <v>56</v>
      </c>
      <c r="F635" s="9">
        <v>174.2</v>
      </c>
      <c r="G635" s="9"/>
      <c r="H635" s="9">
        <v>174.2</v>
      </c>
      <c r="I635" s="9">
        <v>174.2</v>
      </c>
      <c r="J635" s="380"/>
      <c r="K635" s="9">
        <v>174.2</v>
      </c>
      <c r="L635" s="9">
        <v>174.2</v>
      </c>
      <c r="M635" s="9"/>
      <c r="N635" s="9">
        <v>174.2</v>
      </c>
    </row>
    <row r="636" spans="1:14" x14ac:dyDescent="0.3">
      <c r="A636" s="31"/>
      <c r="B636" s="31"/>
      <c r="C636" s="31" t="s">
        <v>142</v>
      </c>
      <c r="D636" s="31"/>
      <c r="E636" s="30" t="s">
        <v>141</v>
      </c>
      <c r="F636" s="29">
        <f>F637</f>
        <v>6282.6</v>
      </c>
      <c r="G636" s="29"/>
      <c r="H636" s="29">
        <f>H637</f>
        <v>6282.6</v>
      </c>
      <c r="I636" s="29">
        <f>I637</f>
        <v>6282.6</v>
      </c>
      <c r="J636" s="378"/>
      <c r="K636" s="29">
        <f>K637</f>
        <v>6282.6</v>
      </c>
      <c r="L636" s="29">
        <f>L637</f>
        <v>6282.6</v>
      </c>
      <c r="M636" s="29"/>
      <c r="N636" s="29">
        <f>N637</f>
        <v>6282.6</v>
      </c>
    </row>
    <row r="637" spans="1:14" ht="26.25" customHeight="1" x14ac:dyDescent="0.3">
      <c r="A637" s="223"/>
      <c r="B637" s="223"/>
      <c r="C637" s="223" t="s">
        <v>140</v>
      </c>
      <c r="D637" s="223"/>
      <c r="E637" s="224" t="s">
        <v>139</v>
      </c>
      <c r="F637" s="225">
        <f>F642+F638+F640</f>
        <v>6282.6</v>
      </c>
      <c r="G637" s="225"/>
      <c r="H637" s="225">
        <f>H642+H638+H640</f>
        <v>6282.6</v>
      </c>
      <c r="I637" s="225">
        <f>I642+I638+I640</f>
        <v>6282.6</v>
      </c>
      <c r="J637" s="379"/>
      <c r="K637" s="225">
        <f>K642+K638+K640</f>
        <v>6282.6</v>
      </c>
      <c r="L637" s="225">
        <f>L642+L638+L640</f>
        <v>6282.6</v>
      </c>
      <c r="M637" s="225"/>
      <c r="N637" s="225">
        <f>N642+N638+N640</f>
        <v>6282.6</v>
      </c>
    </row>
    <row r="638" spans="1:14" ht="25.5" customHeight="1" x14ac:dyDescent="0.3">
      <c r="A638" s="8"/>
      <c r="B638" s="8"/>
      <c r="C638" s="7" t="s">
        <v>208</v>
      </c>
      <c r="D638" s="7"/>
      <c r="E638" s="146" t="s">
        <v>824</v>
      </c>
      <c r="F638" s="9">
        <f>F639</f>
        <v>115.7</v>
      </c>
      <c r="G638" s="9"/>
      <c r="H638" s="9">
        <f>H639</f>
        <v>115.7</v>
      </c>
      <c r="I638" s="9">
        <f>I639</f>
        <v>115.7</v>
      </c>
      <c r="J638" s="380"/>
      <c r="K638" s="9">
        <f>K639</f>
        <v>115.7</v>
      </c>
      <c r="L638" s="9">
        <f>L639</f>
        <v>115.7</v>
      </c>
      <c r="M638" s="9"/>
      <c r="N638" s="9">
        <f>N639</f>
        <v>115.7</v>
      </c>
    </row>
    <row r="639" spans="1:14" ht="27" x14ac:dyDescent="0.3">
      <c r="A639" s="8"/>
      <c r="B639" s="8"/>
      <c r="C639" s="7"/>
      <c r="D639" s="7" t="s">
        <v>57</v>
      </c>
      <c r="E639" s="6" t="s">
        <v>56</v>
      </c>
      <c r="F639" s="9">
        <v>115.7</v>
      </c>
      <c r="G639" s="9"/>
      <c r="H639" s="9">
        <v>115.7</v>
      </c>
      <c r="I639" s="9">
        <v>115.7</v>
      </c>
      <c r="J639" s="380"/>
      <c r="K639" s="9">
        <v>115.7</v>
      </c>
      <c r="L639" s="9">
        <v>115.7</v>
      </c>
      <c r="M639" s="9"/>
      <c r="N639" s="9">
        <v>115.7</v>
      </c>
    </row>
    <row r="640" spans="1:14" ht="27" x14ac:dyDescent="0.3">
      <c r="A640" s="8"/>
      <c r="B640" s="8"/>
      <c r="C640" s="7" t="s">
        <v>138</v>
      </c>
      <c r="D640" s="7"/>
      <c r="E640" s="6" t="s">
        <v>137</v>
      </c>
      <c r="F640" s="9">
        <f>F641</f>
        <v>1560.8</v>
      </c>
      <c r="G640" s="9"/>
      <c r="H640" s="9">
        <f>H641</f>
        <v>1560.8</v>
      </c>
      <c r="I640" s="9">
        <f>I641</f>
        <v>1560.8</v>
      </c>
      <c r="J640" s="380"/>
      <c r="K640" s="9">
        <f>K641</f>
        <v>1560.8</v>
      </c>
      <c r="L640" s="9">
        <f>L641</f>
        <v>1560.8</v>
      </c>
      <c r="M640" s="9"/>
      <c r="N640" s="9">
        <f>N641</f>
        <v>1560.8</v>
      </c>
    </row>
    <row r="641" spans="1:14" ht="27" x14ac:dyDescent="0.3">
      <c r="A641" s="8"/>
      <c r="B641" s="8"/>
      <c r="C641" s="7"/>
      <c r="D641" s="7" t="s">
        <v>57</v>
      </c>
      <c r="E641" s="6" t="s">
        <v>56</v>
      </c>
      <c r="F641" s="9">
        <v>1560.8</v>
      </c>
      <c r="G641" s="9"/>
      <c r="H641" s="9">
        <v>1560.8</v>
      </c>
      <c r="I641" s="9">
        <v>1560.8</v>
      </c>
      <c r="J641" s="380"/>
      <c r="K641" s="9">
        <v>1560.8</v>
      </c>
      <c r="L641" s="9">
        <v>1560.8</v>
      </c>
      <c r="M641" s="9"/>
      <c r="N641" s="9">
        <v>1560.8</v>
      </c>
    </row>
    <row r="642" spans="1:14" ht="27.75" customHeight="1" x14ac:dyDescent="0.3">
      <c r="A642" s="8"/>
      <c r="B642" s="8"/>
      <c r="C642" s="7" t="s">
        <v>207</v>
      </c>
      <c r="D642" s="7"/>
      <c r="E642" s="6" t="s">
        <v>206</v>
      </c>
      <c r="F642" s="9">
        <f>F644</f>
        <v>4606.1000000000004</v>
      </c>
      <c r="G642" s="9"/>
      <c r="H642" s="9">
        <f>H644</f>
        <v>4606.1000000000004</v>
      </c>
      <c r="I642" s="9">
        <f>I644</f>
        <v>4606.1000000000004</v>
      </c>
      <c r="J642" s="380"/>
      <c r="K642" s="9">
        <f>K644</f>
        <v>4606.1000000000004</v>
      </c>
      <c r="L642" s="9">
        <f>L644</f>
        <v>4606.1000000000004</v>
      </c>
      <c r="M642" s="9"/>
      <c r="N642" s="9">
        <f>N644</f>
        <v>4606.1000000000004</v>
      </c>
    </row>
    <row r="643" spans="1:14" x14ac:dyDescent="0.3">
      <c r="A643" s="8"/>
      <c r="B643" s="8"/>
      <c r="C643" s="7"/>
      <c r="D643" s="7" t="s">
        <v>79</v>
      </c>
      <c r="E643" s="6" t="s">
        <v>78</v>
      </c>
      <c r="F643" s="9">
        <v>0</v>
      </c>
      <c r="G643" s="9"/>
      <c r="H643" s="9">
        <v>0</v>
      </c>
      <c r="I643" s="9">
        <v>0</v>
      </c>
      <c r="J643" s="380"/>
      <c r="K643" s="9">
        <v>0</v>
      </c>
      <c r="L643" s="9">
        <v>0</v>
      </c>
      <c r="M643" s="9"/>
      <c r="N643" s="9">
        <v>0</v>
      </c>
    </row>
    <row r="644" spans="1:14" ht="27" x14ac:dyDescent="0.3">
      <c r="A644" s="8"/>
      <c r="B644" s="8"/>
      <c r="C644" s="7"/>
      <c r="D644" s="7" t="s">
        <v>57</v>
      </c>
      <c r="E644" s="6" t="s">
        <v>56</v>
      </c>
      <c r="F644" s="9">
        <v>4606.1000000000004</v>
      </c>
      <c r="G644" s="9"/>
      <c r="H644" s="9">
        <v>4606.1000000000004</v>
      </c>
      <c r="I644" s="9">
        <v>4606.1000000000004</v>
      </c>
      <c r="J644" s="380"/>
      <c r="K644" s="9">
        <v>4606.1000000000004</v>
      </c>
      <c r="L644" s="9">
        <v>4606.1000000000004</v>
      </c>
      <c r="M644" s="9"/>
      <c r="N644" s="9">
        <v>4606.1000000000004</v>
      </c>
    </row>
    <row r="645" spans="1:14" x14ac:dyDescent="0.3">
      <c r="A645" s="8"/>
      <c r="B645" s="8"/>
      <c r="C645" s="7"/>
      <c r="D645" s="7" t="s">
        <v>22</v>
      </c>
      <c r="E645" s="6" t="s">
        <v>21</v>
      </c>
      <c r="F645" s="9">
        <v>0</v>
      </c>
      <c r="G645" s="9"/>
      <c r="H645" s="9">
        <v>0</v>
      </c>
      <c r="I645" s="9">
        <v>0</v>
      </c>
      <c r="J645" s="380"/>
      <c r="K645" s="9">
        <v>0</v>
      </c>
      <c r="L645" s="9">
        <v>0</v>
      </c>
      <c r="M645" s="9"/>
      <c r="N645" s="9">
        <v>0</v>
      </c>
    </row>
    <row r="646" spans="1:14" x14ac:dyDescent="0.3">
      <c r="A646" s="31"/>
      <c r="B646" s="31"/>
      <c r="C646" s="31" t="s">
        <v>85</v>
      </c>
      <c r="D646" s="31"/>
      <c r="E646" s="52" t="s">
        <v>84</v>
      </c>
      <c r="F646" s="29">
        <f>F647</f>
        <v>278.2</v>
      </c>
      <c r="G646" s="29"/>
      <c r="H646" s="29">
        <f>H647</f>
        <v>278.2</v>
      </c>
      <c r="I646" s="29">
        <f>I647</f>
        <v>278.2</v>
      </c>
      <c r="J646" s="378"/>
      <c r="K646" s="29">
        <f>K647</f>
        <v>278.2</v>
      </c>
      <c r="L646" s="29">
        <f>L647</f>
        <v>278.2</v>
      </c>
      <c r="M646" s="29"/>
      <c r="N646" s="29">
        <f>N647</f>
        <v>278.2</v>
      </c>
    </row>
    <row r="647" spans="1:14" ht="27" x14ac:dyDescent="0.3">
      <c r="A647" s="223"/>
      <c r="B647" s="223"/>
      <c r="C647" s="223" t="s">
        <v>205</v>
      </c>
      <c r="D647" s="223"/>
      <c r="E647" s="224" t="s">
        <v>204</v>
      </c>
      <c r="F647" s="225">
        <f>F650+F648</f>
        <v>278.2</v>
      </c>
      <c r="G647" s="225"/>
      <c r="H647" s="225">
        <f>H650+H648</f>
        <v>278.2</v>
      </c>
      <c r="I647" s="225">
        <f>I650+I648</f>
        <v>278.2</v>
      </c>
      <c r="J647" s="379"/>
      <c r="K647" s="225">
        <f>K650+K648</f>
        <v>278.2</v>
      </c>
      <c r="L647" s="225">
        <f>L650+L648</f>
        <v>278.2</v>
      </c>
      <c r="M647" s="225"/>
      <c r="N647" s="225">
        <f>N650+N648</f>
        <v>278.2</v>
      </c>
    </row>
    <row r="648" spans="1:14" x14ac:dyDescent="0.3">
      <c r="A648" s="73"/>
      <c r="B648" s="73"/>
      <c r="C648" s="73" t="s">
        <v>203</v>
      </c>
      <c r="D648" s="73"/>
      <c r="E648" s="72" t="s">
        <v>202</v>
      </c>
      <c r="F648" s="9">
        <f>F649</f>
        <v>175</v>
      </c>
      <c r="G648" s="9"/>
      <c r="H648" s="9">
        <f>H649</f>
        <v>175</v>
      </c>
      <c r="I648" s="9">
        <f>I649</f>
        <v>175</v>
      </c>
      <c r="J648" s="380"/>
      <c r="K648" s="9">
        <f>K649</f>
        <v>175</v>
      </c>
      <c r="L648" s="9">
        <f>L649</f>
        <v>175</v>
      </c>
      <c r="M648" s="9"/>
      <c r="N648" s="9">
        <f>N649</f>
        <v>175</v>
      </c>
    </row>
    <row r="649" spans="1:14" ht="27" x14ac:dyDescent="0.3">
      <c r="A649" s="73"/>
      <c r="B649" s="73"/>
      <c r="C649" s="73"/>
      <c r="D649" s="73" t="s">
        <v>57</v>
      </c>
      <c r="E649" s="72" t="s">
        <v>56</v>
      </c>
      <c r="F649" s="9">
        <v>175</v>
      </c>
      <c r="G649" s="9"/>
      <c r="H649" s="9">
        <v>175</v>
      </c>
      <c r="I649" s="9">
        <v>175</v>
      </c>
      <c r="J649" s="380"/>
      <c r="K649" s="9">
        <v>175</v>
      </c>
      <c r="L649" s="9">
        <v>175</v>
      </c>
      <c r="M649" s="9"/>
      <c r="N649" s="9">
        <v>175</v>
      </c>
    </row>
    <row r="650" spans="1:14" ht="27" x14ac:dyDescent="0.3">
      <c r="A650" s="7"/>
      <c r="B650" s="7"/>
      <c r="C650" s="7" t="s">
        <v>201</v>
      </c>
      <c r="D650" s="7"/>
      <c r="E650" s="6" t="s">
        <v>200</v>
      </c>
      <c r="F650" s="9">
        <f>F651</f>
        <v>103.2</v>
      </c>
      <c r="G650" s="9"/>
      <c r="H650" s="9">
        <f>H651</f>
        <v>103.2</v>
      </c>
      <c r="I650" s="9">
        <f>I651</f>
        <v>103.2</v>
      </c>
      <c r="J650" s="380"/>
      <c r="K650" s="9">
        <f>K651</f>
        <v>103.2</v>
      </c>
      <c r="L650" s="9">
        <f>L651</f>
        <v>103.2</v>
      </c>
      <c r="M650" s="9"/>
      <c r="N650" s="9">
        <f>N651</f>
        <v>103.2</v>
      </c>
    </row>
    <row r="651" spans="1:14" ht="27" x14ac:dyDescent="0.3">
      <c r="A651" s="7"/>
      <c r="B651" s="7"/>
      <c r="C651" s="7"/>
      <c r="D651" s="73" t="s">
        <v>57</v>
      </c>
      <c r="E651" s="72" t="s">
        <v>56</v>
      </c>
      <c r="F651" s="9">
        <v>103.2</v>
      </c>
      <c r="G651" s="9"/>
      <c r="H651" s="9">
        <v>103.2</v>
      </c>
      <c r="I651" s="9">
        <v>103.2</v>
      </c>
      <c r="J651" s="380"/>
      <c r="K651" s="9">
        <v>103.2</v>
      </c>
      <c r="L651" s="9">
        <v>103.2</v>
      </c>
      <c r="M651" s="9"/>
      <c r="N651" s="9">
        <v>103.2</v>
      </c>
    </row>
    <row r="652" spans="1:14" x14ac:dyDescent="0.3">
      <c r="A652" s="31"/>
      <c r="B652" s="31"/>
      <c r="C652" s="31" t="s">
        <v>199</v>
      </c>
      <c r="D652" s="31"/>
      <c r="E652" s="52" t="s">
        <v>198</v>
      </c>
      <c r="F652" s="29">
        <f t="shared" ref="F652:N654" si="92">F653</f>
        <v>53.3</v>
      </c>
      <c r="G652" s="29"/>
      <c r="H652" s="29">
        <f t="shared" si="92"/>
        <v>53.3</v>
      </c>
      <c r="I652" s="29">
        <f t="shared" si="92"/>
        <v>53.3</v>
      </c>
      <c r="J652" s="378"/>
      <c r="K652" s="29">
        <f t="shared" si="92"/>
        <v>53.3</v>
      </c>
      <c r="L652" s="29">
        <f t="shared" si="92"/>
        <v>53.3</v>
      </c>
      <c r="M652" s="29"/>
      <c r="N652" s="29">
        <f t="shared" si="92"/>
        <v>53.3</v>
      </c>
    </row>
    <row r="653" spans="1:14" x14ac:dyDescent="0.3">
      <c r="A653" s="223"/>
      <c r="B653" s="223"/>
      <c r="C653" s="223" t="s">
        <v>197</v>
      </c>
      <c r="D653" s="223"/>
      <c r="E653" s="224" t="s">
        <v>196</v>
      </c>
      <c r="F653" s="225">
        <f t="shared" si="92"/>
        <v>53.3</v>
      </c>
      <c r="G653" s="225"/>
      <c r="H653" s="225">
        <f t="shared" si="92"/>
        <v>53.3</v>
      </c>
      <c r="I653" s="225">
        <f t="shared" si="92"/>
        <v>53.3</v>
      </c>
      <c r="J653" s="379"/>
      <c r="K653" s="225">
        <f t="shared" si="92"/>
        <v>53.3</v>
      </c>
      <c r="L653" s="225">
        <f t="shared" si="92"/>
        <v>53.3</v>
      </c>
      <c r="M653" s="225"/>
      <c r="N653" s="225">
        <f t="shared" si="92"/>
        <v>53.3</v>
      </c>
    </row>
    <row r="654" spans="1:14" ht="27" x14ac:dyDescent="0.3">
      <c r="A654" s="8"/>
      <c r="B654" s="8"/>
      <c r="C654" s="7" t="s">
        <v>195</v>
      </c>
      <c r="D654" s="7"/>
      <c r="E654" s="6" t="s">
        <v>194</v>
      </c>
      <c r="F654" s="9">
        <f t="shared" si="92"/>
        <v>53.3</v>
      </c>
      <c r="G654" s="9"/>
      <c r="H654" s="9">
        <f t="shared" si="92"/>
        <v>53.3</v>
      </c>
      <c r="I654" s="9">
        <f t="shared" si="92"/>
        <v>53.3</v>
      </c>
      <c r="J654" s="380"/>
      <c r="K654" s="9">
        <f t="shared" si="92"/>
        <v>53.3</v>
      </c>
      <c r="L654" s="9">
        <f t="shared" si="92"/>
        <v>53.3</v>
      </c>
      <c r="M654" s="9"/>
      <c r="N654" s="9">
        <f t="shared" si="92"/>
        <v>53.3</v>
      </c>
    </row>
    <row r="655" spans="1:14" ht="27" x14ac:dyDescent="0.3">
      <c r="A655" s="8"/>
      <c r="B655" s="8"/>
      <c r="C655" s="7"/>
      <c r="D655" s="7" t="s">
        <v>57</v>
      </c>
      <c r="E655" s="6" t="s">
        <v>56</v>
      </c>
      <c r="F655" s="9">
        <v>53.3</v>
      </c>
      <c r="G655" s="9"/>
      <c r="H655" s="9">
        <v>53.3</v>
      </c>
      <c r="I655" s="9">
        <v>53.3</v>
      </c>
      <c r="J655" s="380"/>
      <c r="K655" s="9">
        <v>53.3</v>
      </c>
      <c r="L655" s="9">
        <v>53.3</v>
      </c>
      <c r="M655" s="9"/>
      <c r="N655" s="9">
        <v>53.3</v>
      </c>
    </row>
    <row r="656" spans="1:14" x14ac:dyDescent="0.3">
      <c r="A656" s="8"/>
      <c r="B656" s="23">
        <v>1000</v>
      </c>
      <c r="C656" s="22"/>
      <c r="D656" s="21"/>
      <c r="E656" s="20" t="s">
        <v>89</v>
      </c>
      <c r="F656" s="27">
        <f>F657+F679</f>
        <v>29695.971000000001</v>
      </c>
      <c r="G656" s="27"/>
      <c r="H656" s="27">
        <f>H657+H679</f>
        <v>29695.971000000001</v>
      </c>
      <c r="I656" s="27">
        <f>I657+I679</f>
        <v>28831.996000000003</v>
      </c>
      <c r="J656" s="381"/>
      <c r="K656" s="27">
        <f>K657+K679</f>
        <v>28831.996000000003</v>
      </c>
      <c r="L656" s="27">
        <f>L657+L679</f>
        <v>28603.496000000003</v>
      </c>
      <c r="M656" s="27"/>
      <c r="N656" s="27">
        <f>N657+N679</f>
        <v>28603.496000000003</v>
      </c>
    </row>
    <row r="657" spans="1:14" x14ac:dyDescent="0.3">
      <c r="A657" s="8"/>
      <c r="B657" s="23">
        <v>1003</v>
      </c>
      <c r="C657" s="22"/>
      <c r="D657" s="21"/>
      <c r="E657" s="20" t="s">
        <v>88</v>
      </c>
      <c r="F657" s="27">
        <f t="shared" ref="F657:N658" si="93">F658</f>
        <v>25121.671000000002</v>
      </c>
      <c r="G657" s="27"/>
      <c r="H657" s="27">
        <f t="shared" si="93"/>
        <v>25121.671000000002</v>
      </c>
      <c r="I657" s="27">
        <f t="shared" si="93"/>
        <v>25259.796000000002</v>
      </c>
      <c r="J657" s="381"/>
      <c r="K657" s="27">
        <f t="shared" si="93"/>
        <v>25259.796000000002</v>
      </c>
      <c r="L657" s="27">
        <f t="shared" si="93"/>
        <v>25089.596000000001</v>
      </c>
      <c r="M657" s="27"/>
      <c r="N657" s="27">
        <f t="shared" si="93"/>
        <v>25089.596000000001</v>
      </c>
    </row>
    <row r="658" spans="1:14" x14ac:dyDescent="0.3">
      <c r="A658" s="8"/>
      <c r="B658" s="23"/>
      <c r="C658" s="22" t="s">
        <v>36</v>
      </c>
      <c r="D658" s="21"/>
      <c r="E658" s="28" t="s">
        <v>35</v>
      </c>
      <c r="F658" s="27">
        <f t="shared" si="93"/>
        <v>25121.671000000002</v>
      </c>
      <c r="G658" s="27"/>
      <c r="H658" s="27">
        <f t="shared" si="93"/>
        <v>25121.671000000002</v>
      </c>
      <c r="I658" s="27">
        <f t="shared" si="93"/>
        <v>25259.796000000002</v>
      </c>
      <c r="J658" s="381"/>
      <c r="K658" s="27">
        <f t="shared" si="93"/>
        <v>25259.796000000002</v>
      </c>
      <c r="L658" s="27">
        <f t="shared" si="93"/>
        <v>25089.596000000001</v>
      </c>
      <c r="M658" s="27"/>
      <c r="N658" s="27">
        <f t="shared" si="93"/>
        <v>25089.596000000001</v>
      </c>
    </row>
    <row r="659" spans="1:14" ht="26.4" x14ac:dyDescent="0.3">
      <c r="A659" s="35"/>
      <c r="B659" s="35"/>
      <c r="C659" s="35" t="s">
        <v>87</v>
      </c>
      <c r="D659" s="34"/>
      <c r="E659" s="33" t="s">
        <v>86</v>
      </c>
      <c r="F659" s="32">
        <f>F660+F664+F672</f>
        <v>25121.671000000002</v>
      </c>
      <c r="G659" s="32"/>
      <c r="H659" s="32">
        <f>H660+H664+H672</f>
        <v>25121.671000000002</v>
      </c>
      <c r="I659" s="32">
        <f>I660+I664+I672</f>
        <v>25259.796000000002</v>
      </c>
      <c r="J659" s="377"/>
      <c r="K659" s="32">
        <f>K660+K664+K672</f>
        <v>25259.796000000002</v>
      </c>
      <c r="L659" s="32">
        <f>L660+L664+L672</f>
        <v>25089.596000000001</v>
      </c>
      <c r="M659" s="32"/>
      <c r="N659" s="32">
        <f>N660+N664+N672</f>
        <v>25089.596000000001</v>
      </c>
    </row>
    <row r="660" spans="1:14" x14ac:dyDescent="0.3">
      <c r="A660" s="31"/>
      <c r="B660" s="31"/>
      <c r="C660" s="31" t="s">
        <v>177</v>
      </c>
      <c r="D660" s="31"/>
      <c r="E660" s="52" t="s">
        <v>176</v>
      </c>
      <c r="F660" s="29">
        <f t="shared" ref="F660:N662" si="94">F661</f>
        <v>138.19999999999999</v>
      </c>
      <c r="G660" s="29"/>
      <c r="H660" s="29">
        <f t="shared" si="94"/>
        <v>138.19999999999999</v>
      </c>
      <c r="I660" s="29">
        <f t="shared" si="94"/>
        <v>138.19999999999999</v>
      </c>
      <c r="J660" s="378"/>
      <c r="K660" s="29">
        <f t="shared" si="94"/>
        <v>138.19999999999999</v>
      </c>
      <c r="L660" s="29">
        <f t="shared" si="94"/>
        <v>138.19999999999999</v>
      </c>
      <c r="M660" s="29"/>
      <c r="N660" s="29">
        <f t="shared" si="94"/>
        <v>138.19999999999999</v>
      </c>
    </row>
    <row r="661" spans="1:14" ht="27" x14ac:dyDescent="0.3">
      <c r="A661" s="223"/>
      <c r="B661" s="223"/>
      <c r="C661" s="223" t="s">
        <v>175</v>
      </c>
      <c r="D661" s="223"/>
      <c r="E661" s="224" t="s">
        <v>193</v>
      </c>
      <c r="F661" s="225">
        <f t="shared" si="94"/>
        <v>138.19999999999999</v>
      </c>
      <c r="G661" s="225"/>
      <c r="H661" s="225">
        <f t="shared" si="94"/>
        <v>138.19999999999999</v>
      </c>
      <c r="I661" s="225">
        <f t="shared" si="94"/>
        <v>138.19999999999999</v>
      </c>
      <c r="J661" s="379"/>
      <c r="K661" s="225">
        <f t="shared" si="94"/>
        <v>138.19999999999999</v>
      </c>
      <c r="L661" s="225">
        <f t="shared" si="94"/>
        <v>138.19999999999999</v>
      </c>
      <c r="M661" s="225"/>
      <c r="N661" s="225">
        <f t="shared" si="94"/>
        <v>138.19999999999999</v>
      </c>
    </row>
    <row r="662" spans="1:14" ht="27" x14ac:dyDescent="0.3">
      <c r="A662" s="8"/>
      <c r="B662" s="8"/>
      <c r="C662" s="55" t="s">
        <v>192</v>
      </c>
      <c r="D662" s="7"/>
      <c r="E662" s="6" t="s">
        <v>758</v>
      </c>
      <c r="F662" s="9">
        <f t="shared" si="94"/>
        <v>138.19999999999999</v>
      </c>
      <c r="G662" s="9"/>
      <c r="H662" s="9">
        <f t="shared" si="94"/>
        <v>138.19999999999999</v>
      </c>
      <c r="I662" s="9">
        <f t="shared" si="94"/>
        <v>138.19999999999999</v>
      </c>
      <c r="J662" s="380"/>
      <c r="K662" s="9">
        <f t="shared" si="94"/>
        <v>138.19999999999999</v>
      </c>
      <c r="L662" s="9">
        <f t="shared" si="94"/>
        <v>138.19999999999999</v>
      </c>
      <c r="M662" s="9"/>
      <c r="N662" s="9">
        <f t="shared" si="94"/>
        <v>138.19999999999999</v>
      </c>
    </row>
    <row r="663" spans="1:14" ht="27" x14ac:dyDescent="0.3">
      <c r="A663" s="8"/>
      <c r="B663" s="8"/>
      <c r="C663" s="55"/>
      <c r="D663" s="7" t="s">
        <v>57</v>
      </c>
      <c r="E663" s="6" t="s">
        <v>56</v>
      </c>
      <c r="F663" s="9">
        <v>138.19999999999999</v>
      </c>
      <c r="G663" s="9"/>
      <c r="H663" s="9">
        <v>138.19999999999999</v>
      </c>
      <c r="I663" s="9">
        <v>138.19999999999999</v>
      </c>
      <c r="J663" s="380"/>
      <c r="K663" s="9">
        <v>138.19999999999999</v>
      </c>
      <c r="L663" s="9">
        <v>138.19999999999999</v>
      </c>
      <c r="M663" s="9"/>
      <c r="N663" s="9">
        <v>138.19999999999999</v>
      </c>
    </row>
    <row r="664" spans="1:14" x14ac:dyDescent="0.3">
      <c r="A664" s="31"/>
      <c r="B664" s="31"/>
      <c r="C664" s="31" t="s">
        <v>191</v>
      </c>
      <c r="D664" s="31"/>
      <c r="E664" s="52" t="s">
        <v>190</v>
      </c>
      <c r="F664" s="29">
        <f>F665</f>
        <v>9490.7000000000007</v>
      </c>
      <c r="G664" s="29"/>
      <c r="H664" s="29">
        <f>H665</f>
        <v>9490.7000000000007</v>
      </c>
      <c r="I664" s="29">
        <f>I665</f>
        <v>9755.7000000000007</v>
      </c>
      <c r="J664" s="378"/>
      <c r="K664" s="29">
        <f>K665</f>
        <v>9755.7000000000007</v>
      </c>
      <c r="L664" s="29">
        <f>L665</f>
        <v>9585.5</v>
      </c>
      <c r="M664" s="29"/>
      <c r="N664" s="29">
        <f>N665</f>
        <v>9585.5</v>
      </c>
    </row>
    <row r="665" spans="1:14" ht="40.200000000000003" x14ac:dyDescent="0.3">
      <c r="A665" s="223"/>
      <c r="B665" s="223"/>
      <c r="C665" s="223" t="s">
        <v>189</v>
      </c>
      <c r="D665" s="223"/>
      <c r="E665" s="224" t="s">
        <v>188</v>
      </c>
      <c r="F665" s="225">
        <f>F666+F668+F670</f>
        <v>9490.7000000000007</v>
      </c>
      <c r="G665" s="225"/>
      <c r="H665" s="225">
        <f>H666+H668+H670</f>
        <v>9490.7000000000007</v>
      </c>
      <c r="I665" s="225">
        <f>I666+I668+I670</f>
        <v>9755.7000000000007</v>
      </c>
      <c r="J665" s="379"/>
      <c r="K665" s="225">
        <f>K666+K668+K670</f>
        <v>9755.7000000000007</v>
      </c>
      <c r="L665" s="225">
        <f>L666+L668+L670</f>
        <v>9585.5</v>
      </c>
      <c r="M665" s="225"/>
      <c r="N665" s="225">
        <f>N666+N668+N670</f>
        <v>9585.5</v>
      </c>
    </row>
    <row r="666" spans="1:14" ht="26.4" x14ac:dyDescent="0.3">
      <c r="A666" s="8"/>
      <c r="B666" s="8"/>
      <c r="C666" s="71" t="s">
        <v>187</v>
      </c>
      <c r="D666" s="7"/>
      <c r="E666" s="10" t="s">
        <v>186</v>
      </c>
      <c r="F666" s="9">
        <f>F667</f>
        <v>3726.4</v>
      </c>
      <c r="G666" s="9"/>
      <c r="H666" s="9">
        <f>H667</f>
        <v>3726.4</v>
      </c>
      <c r="I666" s="9">
        <f>I667</f>
        <v>3953.5</v>
      </c>
      <c r="J666" s="380"/>
      <c r="K666" s="9">
        <f>K667</f>
        <v>3953.5</v>
      </c>
      <c r="L666" s="9">
        <f>L667</f>
        <v>3915.7</v>
      </c>
      <c r="M666" s="9"/>
      <c r="N666" s="9">
        <f>N667</f>
        <v>3915.7</v>
      </c>
    </row>
    <row r="667" spans="1:14" ht="27" x14ac:dyDescent="0.3">
      <c r="A667" s="8"/>
      <c r="B667" s="8"/>
      <c r="C667" s="71"/>
      <c r="D667" s="7" t="s">
        <v>57</v>
      </c>
      <c r="E667" s="6" t="s">
        <v>56</v>
      </c>
      <c r="F667" s="9">
        <v>3726.4</v>
      </c>
      <c r="G667" s="9"/>
      <c r="H667" s="9">
        <v>3726.4</v>
      </c>
      <c r="I667" s="9">
        <v>3953.5</v>
      </c>
      <c r="J667" s="380"/>
      <c r="K667" s="9">
        <v>3953.5</v>
      </c>
      <c r="L667" s="9">
        <v>3915.7</v>
      </c>
      <c r="M667" s="9"/>
      <c r="N667" s="9">
        <v>3915.7</v>
      </c>
    </row>
    <row r="668" spans="1:14" ht="16.5" customHeight="1" x14ac:dyDescent="0.3">
      <c r="A668" s="8"/>
      <c r="B668" s="8"/>
      <c r="C668" s="71" t="s">
        <v>185</v>
      </c>
      <c r="D668" s="7"/>
      <c r="E668" s="6" t="s">
        <v>184</v>
      </c>
      <c r="F668" s="9">
        <f>F669</f>
        <v>4104.8</v>
      </c>
      <c r="G668" s="9"/>
      <c r="H668" s="9">
        <f>H669</f>
        <v>4104.8</v>
      </c>
      <c r="I668" s="9">
        <f>I669</f>
        <v>4142.7</v>
      </c>
      <c r="J668" s="380"/>
      <c r="K668" s="9">
        <f>K669</f>
        <v>4142.7</v>
      </c>
      <c r="L668" s="9">
        <f>L669</f>
        <v>4010.3</v>
      </c>
      <c r="M668" s="9"/>
      <c r="N668" s="9">
        <f>N669</f>
        <v>4010.3</v>
      </c>
    </row>
    <row r="669" spans="1:14" ht="27" x14ac:dyDescent="0.3">
      <c r="A669" s="8"/>
      <c r="B669" s="8"/>
      <c r="C669" s="71"/>
      <c r="D669" s="7" t="s">
        <v>57</v>
      </c>
      <c r="E669" s="6" t="s">
        <v>56</v>
      </c>
      <c r="F669" s="9">
        <v>4104.8</v>
      </c>
      <c r="G669" s="9"/>
      <c r="H669" s="9">
        <v>4104.8</v>
      </c>
      <c r="I669" s="9">
        <v>4142.7</v>
      </c>
      <c r="J669" s="380"/>
      <c r="K669" s="9">
        <v>4142.7</v>
      </c>
      <c r="L669" s="9">
        <v>4010.3</v>
      </c>
      <c r="M669" s="9"/>
      <c r="N669" s="9">
        <v>4010.3</v>
      </c>
    </row>
    <row r="670" spans="1:14" ht="27" x14ac:dyDescent="0.3">
      <c r="A670" s="8"/>
      <c r="B670" s="8"/>
      <c r="C670" s="7" t="s">
        <v>183</v>
      </c>
      <c r="D670" s="7"/>
      <c r="E670" s="6" t="s">
        <v>822</v>
      </c>
      <c r="F670" s="9">
        <f>F671</f>
        <v>1659.5</v>
      </c>
      <c r="G670" s="9"/>
      <c r="H670" s="9">
        <f>H671</f>
        <v>1659.5</v>
      </c>
      <c r="I670" s="9">
        <f>I671</f>
        <v>1659.5</v>
      </c>
      <c r="J670" s="380"/>
      <c r="K670" s="9">
        <f>K671</f>
        <v>1659.5</v>
      </c>
      <c r="L670" s="9">
        <f>L671</f>
        <v>1659.5</v>
      </c>
      <c r="M670" s="9"/>
      <c r="N670" s="9">
        <f>N671</f>
        <v>1659.5</v>
      </c>
    </row>
    <row r="671" spans="1:14" ht="27" x14ac:dyDescent="0.3">
      <c r="A671" s="8"/>
      <c r="B671" s="8"/>
      <c r="C671" s="7"/>
      <c r="D671" s="7" t="s">
        <v>57</v>
      </c>
      <c r="E671" s="6" t="s">
        <v>56</v>
      </c>
      <c r="F671" s="9">
        <f>1519.4+140.1</f>
        <v>1659.5</v>
      </c>
      <c r="G671" s="9"/>
      <c r="H671" s="9">
        <f>1519.4+140.1</f>
        <v>1659.5</v>
      </c>
      <c r="I671" s="9">
        <f>1519.4+140.1</f>
        <v>1659.5</v>
      </c>
      <c r="J671" s="380"/>
      <c r="K671" s="9">
        <f>1519.4+140.1</f>
        <v>1659.5</v>
      </c>
      <c r="L671" s="9">
        <f>1519.4+140.1</f>
        <v>1659.5</v>
      </c>
      <c r="M671" s="9"/>
      <c r="N671" s="9">
        <f>1519.4+140.1</f>
        <v>1659.5</v>
      </c>
    </row>
    <row r="672" spans="1:14" x14ac:dyDescent="0.3">
      <c r="A672" s="31"/>
      <c r="B672" s="31"/>
      <c r="C672" s="31" t="s">
        <v>85</v>
      </c>
      <c r="D672" s="31"/>
      <c r="E672" s="52" t="s">
        <v>84</v>
      </c>
      <c r="F672" s="29">
        <f>F673</f>
        <v>15492.771000000001</v>
      </c>
      <c r="G672" s="29"/>
      <c r="H672" s="29">
        <f>H673</f>
        <v>15492.771000000001</v>
      </c>
      <c r="I672" s="29">
        <f>I673</f>
        <v>15365.896000000001</v>
      </c>
      <c r="J672" s="378"/>
      <c r="K672" s="29">
        <f>K673</f>
        <v>15365.896000000001</v>
      </c>
      <c r="L672" s="29">
        <f>L673</f>
        <v>15365.896000000001</v>
      </c>
      <c r="M672" s="29"/>
      <c r="N672" s="29">
        <f>N673</f>
        <v>15365.896000000001</v>
      </c>
    </row>
    <row r="673" spans="1:14" ht="27" x14ac:dyDescent="0.3">
      <c r="A673" s="223"/>
      <c r="B673" s="223"/>
      <c r="C673" s="223" t="s">
        <v>83</v>
      </c>
      <c r="D673" s="223"/>
      <c r="E673" s="224" t="s">
        <v>82</v>
      </c>
      <c r="F673" s="225">
        <f>F674+F676</f>
        <v>15492.771000000001</v>
      </c>
      <c r="G673" s="225"/>
      <c r="H673" s="225">
        <f>H674+H676</f>
        <v>15492.771000000001</v>
      </c>
      <c r="I673" s="225">
        <f>I674+I676</f>
        <v>15365.896000000001</v>
      </c>
      <c r="J673" s="379"/>
      <c r="K673" s="225">
        <f>K674+K676</f>
        <v>15365.896000000001</v>
      </c>
      <c r="L673" s="225">
        <f>L674+L676</f>
        <v>15365.896000000001</v>
      </c>
      <c r="M673" s="225"/>
      <c r="N673" s="225">
        <f>N674+N676</f>
        <v>15365.896000000001</v>
      </c>
    </row>
    <row r="674" spans="1:14" ht="27" x14ac:dyDescent="0.3">
      <c r="A674" s="8"/>
      <c r="B674" s="8"/>
      <c r="C674" s="7" t="s">
        <v>182</v>
      </c>
      <c r="D674" s="7"/>
      <c r="E674" s="6" t="s">
        <v>181</v>
      </c>
      <c r="F674" s="9">
        <f>SUM(F675)</f>
        <v>913.5</v>
      </c>
      <c r="G674" s="9"/>
      <c r="H674" s="9">
        <f>SUM(H675)</f>
        <v>913.5</v>
      </c>
      <c r="I674" s="9">
        <f>SUM(I675)</f>
        <v>786.625</v>
      </c>
      <c r="J674" s="380"/>
      <c r="K674" s="9">
        <f>SUM(K675)</f>
        <v>786.625</v>
      </c>
      <c r="L674" s="9">
        <f>SUM(L675)</f>
        <v>786.625</v>
      </c>
      <c r="M674" s="9"/>
      <c r="N674" s="9">
        <f>SUM(N675)</f>
        <v>786.625</v>
      </c>
    </row>
    <row r="675" spans="1:14" x14ac:dyDescent="0.3">
      <c r="A675" s="8"/>
      <c r="B675" s="8"/>
      <c r="C675" s="7"/>
      <c r="D675" s="7" t="s">
        <v>79</v>
      </c>
      <c r="E675" s="6" t="s">
        <v>78</v>
      </c>
      <c r="F675" s="9">
        <v>913.5</v>
      </c>
      <c r="G675" s="9"/>
      <c r="H675" s="9">
        <v>913.5</v>
      </c>
      <c r="I675" s="9">
        <v>786.625</v>
      </c>
      <c r="J675" s="380"/>
      <c r="K675" s="9">
        <v>786.625</v>
      </c>
      <c r="L675" s="9">
        <v>786.625</v>
      </c>
      <c r="M675" s="9"/>
      <c r="N675" s="9">
        <v>786.625</v>
      </c>
    </row>
    <row r="676" spans="1:14" ht="36.75" customHeight="1" x14ac:dyDescent="0.3">
      <c r="A676" s="8"/>
      <c r="B676" s="8"/>
      <c r="C676" s="7" t="s">
        <v>81</v>
      </c>
      <c r="D676" s="7"/>
      <c r="E676" s="6" t="s">
        <v>180</v>
      </c>
      <c r="F676" s="9">
        <f>F677+F678</f>
        <v>14579.271000000001</v>
      </c>
      <c r="G676" s="9"/>
      <c r="H676" s="9">
        <f>H677+H678</f>
        <v>14579.271000000001</v>
      </c>
      <c r="I676" s="9">
        <f>I677+I678</f>
        <v>14579.271000000001</v>
      </c>
      <c r="J676" s="380"/>
      <c r="K676" s="9">
        <f>K677+K678</f>
        <v>14579.271000000001</v>
      </c>
      <c r="L676" s="9">
        <f>L677+L678</f>
        <v>14579.271000000001</v>
      </c>
      <c r="M676" s="9"/>
      <c r="N676" s="9">
        <f>N677+N678</f>
        <v>14579.271000000001</v>
      </c>
    </row>
    <row r="677" spans="1:14" x14ac:dyDescent="0.3">
      <c r="A677" s="8"/>
      <c r="B677" s="8"/>
      <c r="C677" s="7"/>
      <c r="D677" s="7" t="s">
        <v>79</v>
      </c>
      <c r="E677" s="6" t="s">
        <v>78</v>
      </c>
      <c r="F677" s="9">
        <v>6854.4</v>
      </c>
      <c r="G677" s="9"/>
      <c r="H677" s="9">
        <v>6854.4</v>
      </c>
      <c r="I677" s="9">
        <v>6854.4</v>
      </c>
      <c r="J677" s="380"/>
      <c r="K677" s="9">
        <v>6854.4</v>
      </c>
      <c r="L677" s="9">
        <v>6854.4</v>
      </c>
      <c r="M677" s="9"/>
      <c r="N677" s="9">
        <v>6854.4</v>
      </c>
    </row>
    <row r="678" spans="1:14" ht="27" x14ac:dyDescent="0.3">
      <c r="A678" s="8"/>
      <c r="B678" s="8"/>
      <c r="C678" s="7"/>
      <c r="D678" s="7" t="s">
        <v>57</v>
      </c>
      <c r="E678" s="6" t="s">
        <v>56</v>
      </c>
      <c r="F678" s="9">
        <v>7724.8710000000001</v>
      </c>
      <c r="G678" s="9"/>
      <c r="H678" s="9">
        <v>7724.8710000000001</v>
      </c>
      <c r="I678" s="9">
        <v>7724.8710000000001</v>
      </c>
      <c r="J678" s="380"/>
      <c r="K678" s="9">
        <v>7724.8710000000001</v>
      </c>
      <c r="L678" s="9">
        <v>7724.8710000000001</v>
      </c>
      <c r="M678" s="9"/>
      <c r="N678" s="9">
        <v>7724.8710000000001</v>
      </c>
    </row>
    <row r="679" spans="1:14" x14ac:dyDescent="0.3">
      <c r="A679" s="21"/>
      <c r="B679" s="23">
        <v>1004</v>
      </c>
      <c r="C679" s="22"/>
      <c r="D679" s="21"/>
      <c r="E679" s="20" t="s">
        <v>179</v>
      </c>
      <c r="F679" s="27">
        <f t="shared" ref="F679:N684" si="95">F680</f>
        <v>4574.3</v>
      </c>
      <c r="G679" s="27"/>
      <c r="H679" s="27">
        <f t="shared" si="95"/>
        <v>4574.3</v>
      </c>
      <c r="I679" s="27">
        <f t="shared" si="95"/>
        <v>3572.2</v>
      </c>
      <c r="J679" s="381"/>
      <c r="K679" s="27">
        <f t="shared" si="95"/>
        <v>3572.2</v>
      </c>
      <c r="L679" s="27">
        <f t="shared" si="95"/>
        <v>3513.9</v>
      </c>
      <c r="M679" s="27"/>
      <c r="N679" s="27">
        <f t="shared" si="95"/>
        <v>3513.9</v>
      </c>
    </row>
    <row r="680" spans="1:14" x14ac:dyDescent="0.3">
      <c r="A680" s="21"/>
      <c r="B680" s="23"/>
      <c r="C680" s="22" t="s">
        <v>36</v>
      </c>
      <c r="D680" s="23"/>
      <c r="E680" s="56" t="s">
        <v>178</v>
      </c>
      <c r="F680" s="27">
        <f t="shared" si="95"/>
        <v>4574.3</v>
      </c>
      <c r="G680" s="27"/>
      <c r="H680" s="27">
        <f t="shared" si="95"/>
        <v>4574.3</v>
      </c>
      <c r="I680" s="27">
        <f t="shared" si="95"/>
        <v>3572.2</v>
      </c>
      <c r="J680" s="381"/>
      <c r="K680" s="27">
        <f t="shared" si="95"/>
        <v>3572.2</v>
      </c>
      <c r="L680" s="27">
        <f t="shared" si="95"/>
        <v>3513.9</v>
      </c>
      <c r="M680" s="27"/>
      <c r="N680" s="27">
        <f t="shared" si="95"/>
        <v>3513.9</v>
      </c>
    </row>
    <row r="681" spans="1:14" ht="26.4" x14ac:dyDescent="0.3">
      <c r="A681" s="54"/>
      <c r="B681" s="34"/>
      <c r="C681" s="35" t="s">
        <v>87</v>
      </c>
      <c r="D681" s="34"/>
      <c r="E681" s="33" t="s">
        <v>86</v>
      </c>
      <c r="F681" s="32">
        <f t="shared" si="95"/>
        <v>4574.3</v>
      </c>
      <c r="G681" s="32"/>
      <c r="H681" s="32">
        <f t="shared" si="95"/>
        <v>4574.3</v>
      </c>
      <c r="I681" s="32">
        <f t="shared" si="95"/>
        <v>3572.2</v>
      </c>
      <c r="J681" s="377"/>
      <c r="K681" s="32">
        <f t="shared" si="95"/>
        <v>3572.2</v>
      </c>
      <c r="L681" s="32">
        <f t="shared" si="95"/>
        <v>3513.9</v>
      </c>
      <c r="M681" s="32"/>
      <c r="N681" s="32">
        <f t="shared" si="95"/>
        <v>3513.9</v>
      </c>
    </row>
    <row r="682" spans="1:14" x14ac:dyDescent="0.3">
      <c r="A682" s="70"/>
      <c r="B682" s="68"/>
      <c r="C682" s="69" t="s">
        <v>177</v>
      </c>
      <c r="D682" s="68"/>
      <c r="E682" s="67" t="s">
        <v>176</v>
      </c>
      <c r="F682" s="66">
        <f t="shared" si="95"/>
        <v>4574.3</v>
      </c>
      <c r="G682" s="66"/>
      <c r="H682" s="66">
        <f t="shared" si="95"/>
        <v>4574.3</v>
      </c>
      <c r="I682" s="66">
        <f t="shared" si="95"/>
        <v>3572.2</v>
      </c>
      <c r="J682" s="387"/>
      <c r="K682" s="66">
        <f t="shared" si="95"/>
        <v>3572.2</v>
      </c>
      <c r="L682" s="66">
        <f t="shared" si="95"/>
        <v>3513.9</v>
      </c>
      <c r="M682" s="66"/>
      <c r="N682" s="66">
        <f t="shared" si="95"/>
        <v>3513.9</v>
      </c>
    </row>
    <row r="683" spans="1:14" ht="27" x14ac:dyDescent="0.3">
      <c r="A683" s="223"/>
      <c r="B683" s="223"/>
      <c r="C683" s="223" t="s">
        <v>175</v>
      </c>
      <c r="D683" s="223"/>
      <c r="E683" s="224" t="s">
        <v>174</v>
      </c>
      <c r="F683" s="225">
        <f t="shared" si="95"/>
        <v>4574.3</v>
      </c>
      <c r="G683" s="225"/>
      <c r="H683" s="225">
        <f t="shared" si="95"/>
        <v>4574.3</v>
      </c>
      <c r="I683" s="225">
        <f t="shared" si="95"/>
        <v>3572.2</v>
      </c>
      <c r="J683" s="379"/>
      <c r="K683" s="225">
        <f t="shared" si="95"/>
        <v>3572.2</v>
      </c>
      <c r="L683" s="225">
        <f t="shared" si="95"/>
        <v>3513.9</v>
      </c>
      <c r="M683" s="225"/>
      <c r="N683" s="225">
        <f t="shared" si="95"/>
        <v>3513.9</v>
      </c>
    </row>
    <row r="684" spans="1:14" ht="40.200000000000003" x14ac:dyDescent="0.3">
      <c r="A684" s="8"/>
      <c r="B684" s="8"/>
      <c r="C684" s="7" t="s">
        <v>173</v>
      </c>
      <c r="D684" s="7"/>
      <c r="E684" s="6" t="s">
        <v>9</v>
      </c>
      <c r="F684" s="9">
        <f t="shared" si="95"/>
        <v>4574.3</v>
      </c>
      <c r="G684" s="9"/>
      <c r="H684" s="9">
        <f t="shared" si="95"/>
        <v>4574.3</v>
      </c>
      <c r="I684" s="9">
        <f t="shared" si="95"/>
        <v>3572.2</v>
      </c>
      <c r="J684" s="380"/>
      <c r="K684" s="9">
        <f t="shared" si="95"/>
        <v>3572.2</v>
      </c>
      <c r="L684" s="9">
        <f t="shared" si="95"/>
        <v>3513.9</v>
      </c>
      <c r="M684" s="9"/>
      <c r="N684" s="9">
        <f t="shared" si="95"/>
        <v>3513.9</v>
      </c>
    </row>
    <row r="685" spans="1:14" ht="27" x14ac:dyDescent="0.3">
      <c r="A685" s="8"/>
      <c r="B685" s="8"/>
      <c r="C685" s="7"/>
      <c r="D685" s="7" t="s">
        <v>57</v>
      </c>
      <c r="E685" s="6" t="s">
        <v>56</v>
      </c>
      <c r="F685" s="9">
        <v>4574.3</v>
      </c>
      <c r="G685" s="9"/>
      <c r="H685" s="9">
        <v>4574.3</v>
      </c>
      <c r="I685" s="9">
        <v>3572.2</v>
      </c>
      <c r="J685" s="380"/>
      <c r="K685" s="9">
        <v>3572.2</v>
      </c>
      <c r="L685" s="9">
        <v>3513.9</v>
      </c>
      <c r="M685" s="9"/>
      <c r="N685" s="9">
        <v>3513.9</v>
      </c>
    </row>
    <row r="686" spans="1:14" x14ac:dyDescent="0.3">
      <c r="A686" s="37"/>
      <c r="B686" s="23">
        <v>1100</v>
      </c>
      <c r="C686" s="22"/>
      <c r="D686" s="21"/>
      <c r="E686" s="20" t="s">
        <v>76</v>
      </c>
      <c r="F686" s="27">
        <f t="shared" ref="F686:N688" si="96">F687</f>
        <v>2261.3541</v>
      </c>
      <c r="G686" s="27"/>
      <c r="H686" s="27">
        <f t="shared" si="96"/>
        <v>2261.3541</v>
      </c>
      <c r="I686" s="27">
        <f t="shared" si="96"/>
        <v>2150</v>
      </c>
      <c r="J686" s="381"/>
      <c r="K686" s="27">
        <f t="shared" si="96"/>
        <v>2150</v>
      </c>
      <c r="L686" s="27">
        <f t="shared" si="96"/>
        <v>14714.342860000001</v>
      </c>
      <c r="M686" s="27"/>
      <c r="N686" s="27">
        <f t="shared" si="96"/>
        <v>14714.342860000001</v>
      </c>
    </row>
    <row r="687" spans="1:14" x14ac:dyDescent="0.3">
      <c r="A687" s="37"/>
      <c r="B687" s="23" t="s">
        <v>75</v>
      </c>
      <c r="C687" s="22"/>
      <c r="D687" s="23"/>
      <c r="E687" s="28" t="s">
        <v>74</v>
      </c>
      <c r="F687" s="27">
        <f t="shared" si="96"/>
        <v>2261.3541</v>
      </c>
      <c r="G687" s="27"/>
      <c r="H687" s="27">
        <f t="shared" si="96"/>
        <v>2261.3541</v>
      </c>
      <c r="I687" s="27">
        <f t="shared" si="96"/>
        <v>2150</v>
      </c>
      <c r="J687" s="381"/>
      <c r="K687" s="27">
        <f t="shared" si="96"/>
        <v>2150</v>
      </c>
      <c r="L687" s="27">
        <f t="shared" si="96"/>
        <v>14714.342860000001</v>
      </c>
      <c r="M687" s="27"/>
      <c r="N687" s="27">
        <f t="shared" si="96"/>
        <v>14714.342860000001</v>
      </c>
    </row>
    <row r="688" spans="1:14" x14ac:dyDescent="0.3">
      <c r="A688" s="37"/>
      <c r="B688" s="23"/>
      <c r="C688" s="22" t="s">
        <v>36</v>
      </c>
      <c r="D688" s="23"/>
      <c r="E688" s="28" t="s">
        <v>35</v>
      </c>
      <c r="F688" s="27">
        <f t="shared" si="96"/>
        <v>2261.3541</v>
      </c>
      <c r="G688" s="27"/>
      <c r="H688" s="27">
        <f t="shared" si="96"/>
        <v>2261.3541</v>
      </c>
      <c r="I688" s="27">
        <f t="shared" si="96"/>
        <v>2150</v>
      </c>
      <c r="J688" s="381"/>
      <c r="K688" s="27">
        <f t="shared" si="96"/>
        <v>2150</v>
      </c>
      <c r="L688" s="27">
        <f t="shared" si="96"/>
        <v>14714.342860000001</v>
      </c>
      <c r="M688" s="27"/>
      <c r="N688" s="27">
        <f t="shared" si="96"/>
        <v>14714.342860000001</v>
      </c>
    </row>
    <row r="689" spans="1:14" ht="26.4" x14ac:dyDescent="0.3">
      <c r="A689" s="54"/>
      <c r="B689" s="34"/>
      <c r="C689" s="35" t="s">
        <v>73</v>
      </c>
      <c r="D689" s="34"/>
      <c r="E689" s="33" t="s">
        <v>72</v>
      </c>
      <c r="F689" s="32">
        <f>F690+F698</f>
        <v>2261.3541</v>
      </c>
      <c r="G689" s="32"/>
      <c r="H689" s="32">
        <f>H690+H698</f>
        <v>2261.3541</v>
      </c>
      <c r="I689" s="32">
        <f>I690+I698</f>
        <v>2150</v>
      </c>
      <c r="J689" s="377"/>
      <c r="K689" s="32">
        <f>K690+K698</f>
        <v>2150</v>
      </c>
      <c r="L689" s="32">
        <f>L690+L698</f>
        <v>14714.342860000001</v>
      </c>
      <c r="M689" s="32"/>
      <c r="N689" s="32">
        <f>N690+N698</f>
        <v>14714.342860000001</v>
      </c>
    </row>
    <row r="690" spans="1:14" ht="27" x14ac:dyDescent="0.3">
      <c r="A690" s="223"/>
      <c r="B690" s="223"/>
      <c r="C690" s="223" t="s">
        <v>71</v>
      </c>
      <c r="D690" s="223"/>
      <c r="E690" s="224" t="s">
        <v>172</v>
      </c>
      <c r="F690" s="225">
        <f>F691+F693++F696</f>
        <v>2261.3541</v>
      </c>
      <c r="G690" s="225"/>
      <c r="H690" s="225">
        <f>H691+H693++H696</f>
        <v>2261.3541</v>
      </c>
      <c r="I690" s="225">
        <f>I691+I693</f>
        <v>299.2</v>
      </c>
      <c r="J690" s="379"/>
      <c r="K690" s="225">
        <f>K691+K693</f>
        <v>299.2</v>
      </c>
      <c r="L690" s="225">
        <f>L691+L693</f>
        <v>1857.2</v>
      </c>
      <c r="M690" s="225"/>
      <c r="N690" s="225">
        <f>N691+N693</f>
        <v>1857.2</v>
      </c>
    </row>
    <row r="691" spans="1:14" ht="40.200000000000003" x14ac:dyDescent="0.3">
      <c r="A691" s="8"/>
      <c r="B691" s="8"/>
      <c r="C691" s="7" t="s">
        <v>69</v>
      </c>
      <c r="D691" s="7"/>
      <c r="E691" s="6" t="s">
        <v>68</v>
      </c>
      <c r="F691" s="9">
        <f>F692</f>
        <v>1601.6</v>
      </c>
      <c r="G691" s="9"/>
      <c r="H691" s="9">
        <f>H692</f>
        <v>1601.6</v>
      </c>
      <c r="I691" s="9">
        <f>I692</f>
        <v>0</v>
      </c>
      <c r="J691" s="380"/>
      <c r="K691" s="9">
        <f>K692</f>
        <v>0</v>
      </c>
      <c r="L691" s="9">
        <f>L692</f>
        <v>1558</v>
      </c>
      <c r="M691" s="9"/>
      <c r="N691" s="9">
        <f>N692</f>
        <v>1558</v>
      </c>
    </row>
    <row r="692" spans="1:14" ht="27" x14ac:dyDescent="0.3">
      <c r="A692" s="8"/>
      <c r="B692" s="8"/>
      <c r="C692" s="7"/>
      <c r="D692" s="7" t="s">
        <v>57</v>
      </c>
      <c r="E692" s="6" t="s">
        <v>56</v>
      </c>
      <c r="F692" s="9">
        <f>1558+43.6</f>
        <v>1601.6</v>
      </c>
      <c r="G692" s="9"/>
      <c r="H692" s="9">
        <f>1558+43.6</f>
        <v>1601.6</v>
      </c>
      <c r="I692" s="9">
        <v>0</v>
      </c>
      <c r="J692" s="380"/>
      <c r="K692" s="9">
        <v>0</v>
      </c>
      <c r="L692" s="9">
        <v>1558</v>
      </c>
      <c r="M692" s="9"/>
      <c r="N692" s="9">
        <v>1558</v>
      </c>
    </row>
    <row r="693" spans="1:14" x14ac:dyDescent="0.3">
      <c r="A693" s="8"/>
      <c r="B693" s="8"/>
      <c r="C693" s="7" t="s">
        <v>171</v>
      </c>
      <c r="D693" s="7"/>
      <c r="E693" s="6" t="s">
        <v>170</v>
      </c>
      <c r="F693" s="9">
        <f t="shared" ref="F693:N694" si="97">F694</f>
        <v>299.2</v>
      </c>
      <c r="G693" s="9"/>
      <c r="H693" s="9">
        <f t="shared" si="97"/>
        <v>299.2</v>
      </c>
      <c r="I693" s="9">
        <f t="shared" si="97"/>
        <v>299.2</v>
      </c>
      <c r="J693" s="380"/>
      <c r="K693" s="9">
        <f t="shared" si="97"/>
        <v>299.2</v>
      </c>
      <c r="L693" s="9">
        <f t="shared" si="97"/>
        <v>299.2</v>
      </c>
      <c r="M693" s="9"/>
      <c r="N693" s="9">
        <f t="shared" si="97"/>
        <v>299.2</v>
      </c>
    </row>
    <row r="694" spans="1:14" ht="27" x14ac:dyDescent="0.3">
      <c r="A694" s="8"/>
      <c r="B694" s="8"/>
      <c r="C694" s="7"/>
      <c r="D694" s="7" t="s">
        <v>57</v>
      </c>
      <c r="E694" s="6" t="s">
        <v>56</v>
      </c>
      <c r="F694" s="9">
        <f t="shared" si="97"/>
        <v>299.2</v>
      </c>
      <c r="G694" s="9"/>
      <c r="H694" s="9">
        <f t="shared" si="97"/>
        <v>299.2</v>
      </c>
      <c r="I694" s="9">
        <f t="shared" si="97"/>
        <v>299.2</v>
      </c>
      <c r="J694" s="380"/>
      <c r="K694" s="9">
        <f t="shared" si="97"/>
        <v>299.2</v>
      </c>
      <c r="L694" s="9">
        <f t="shared" si="97"/>
        <v>299.2</v>
      </c>
      <c r="M694" s="9"/>
      <c r="N694" s="9">
        <f t="shared" si="97"/>
        <v>299.2</v>
      </c>
    </row>
    <row r="695" spans="1:14" x14ac:dyDescent="0.3">
      <c r="A695" s="8"/>
      <c r="B695" s="8"/>
      <c r="C695" s="7"/>
      <c r="D695" s="7"/>
      <c r="E695" s="10" t="s">
        <v>106</v>
      </c>
      <c r="F695" s="9">
        <v>299.2</v>
      </c>
      <c r="G695" s="9"/>
      <c r="H695" s="9">
        <v>299.2</v>
      </c>
      <c r="I695" s="9">
        <v>299.2</v>
      </c>
      <c r="J695" s="380"/>
      <c r="K695" s="9">
        <v>299.2</v>
      </c>
      <c r="L695" s="9">
        <v>299.2</v>
      </c>
      <c r="M695" s="9"/>
      <c r="N695" s="9">
        <v>299.2</v>
      </c>
    </row>
    <row r="696" spans="1:14" x14ac:dyDescent="0.3">
      <c r="A696" s="8"/>
      <c r="B696" s="8"/>
      <c r="C696" s="7" t="s">
        <v>825</v>
      </c>
      <c r="D696" s="7"/>
      <c r="E696" s="10" t="s">
        <v>826</v>
      </c>
      <c r="F696" s="9">
        <f>F697</f>
        <v>360.55410000000001</v>
      </c>
      <c r="G696" s="9"/>
      <c r="H696" s="9">
        <f>H697</f>
        <v>360.55410000000001</v>
      </c>
      <c r="I696" s="9"/>
      <c r="J696" s="380"/>
      <c r="K696" s="9"/>
      <c r="L696" s="9"/>
      <c r="M696" s="9"/>
      <c r="N696" s="9"/>
    </row>
    <row r="697" spans="1:14" ht="27" x14ac:dyDescent="0.3">
      <c r="A697" s="8"/>
      <c r="B697" s="8"/>
      <c r="C697" s="7"/>
      <c r="D697" s="7" t="s">
        <v>57</v>
      </c>
      <c r="E697" s="6" t="s">
        <v>56</v>
      </c>
      <c r="F697" s="9">
        <v>360.55410000000001</v>
      </c>
      <c r="G697" s="9"/>
      <c r="H697" s="9">
        <v>360.55410000000001</v>
      </c>
      <c r="I697" s="9"/>
      <c r="J697" s="380"/>
      <c r="K697" s="9"/>
      <c r="L697" s="9"/>
      <c r="M697" s="9"/>
      <c r="N697" s="9"/>
    </row>
    <row r="698" spans="1:14" ht="27" x14ac:dyDescent="0.3">
      <c r="A698" s="223"/>
      <c r="B698" s="223"/>
      <c r="C698" s="223" t="s">
        <v>169</v>
      </c>
      <c r="D698" s="223"/>
      <c r="E698" s="224" t="s">
        <v>168</v>
      </c>
      <c r="F698" s="225">
        <f>F701</f>
        <v>0</v>
      </c>
      <c r="G698" s="225"/>
      <c r="H698" s="225">
        <f>H701</f>
        <v>0</v>
      </c>
      <c r="I698" s="225">
        <f>I699</f>
        <v>1850.8</v>
      </c>
      <c r="J698" s="379"/>
      <c r="K698" s="225">
        <f>K699</f>
        <v>1850.8</v>
      </c>
      <c r="L698" s="225">
        <f>L701</f>
        <v>12857.14286</v>
      </c>
      <c r="M698" s="225"/>
      <c r="N698" s="225">
        <f>N701</f>
        <v>12857.14286</v>
      </c>
    </row>
    <row r="699" spans="1:14" ht="30.75" customHeight="1" x14ac:dyDescent="0.3">
      <c r="A699" s="8"/>
      <c r="B699" s="8"/>
      <c r="C699" s="7" t="s">
        <v>614</v>
      </c>
      <c r="D699" s="7"/>
      <c r="E699" s="6" t="s">
        <v>615</v>
      </c>
      <c r="F699" s="9">
        <v>0</v>
      </c>
      <c r="G699" s="9"/>
      <c r="H699" s="9">
        <v>0</v>
      </c>
      <c r="I699" s="9">
        <f>I700</f>
        <v>1850.8</v>
      </c>
      <c r="J699" s="380"/>
      <c r="K699" s="9">
        <f>K700</f>
        <v>1850.8</v>
      </c>
      <c r="L699" s="9">
        <f>L700</f>
        <v>0</v>
      </c>
      <c r="M699" s="9"/>
      <c r="N699" s="9">
        <f>N700</f>
        <v>0</v>
      </c>
    </row>
    <row r="700" spans="1:14" ht="27" x14ac:dyDescent="0.3">
      <c r="A700" s="8"/>
      <c r="B700" s="8"/>
      <c r="C700" s="7"/>
      <c r="D700" s="7" t="s">
        <v>57</v>
      </c>
      <c r="E700" s="6" t="s">
        <v>56</v>
      </c>
      <c r="F700" s="9">
        <v>0</v>
      </c>
      <c r="G700" s="9"/>
      <c r="H700" s="9">
        <v>0</v>
      </c>
      <c r="I700" s="9">
        <v>1850.8</v>
      </c>
      <c r="J700" s="380"/>
      <c r="K700" s="9">
        <v>1850.8</v>
      </c>
      <c r="L700" s="9">
        <v>0</v>
      </c>
      <c r="M700" s="9"/>
      <c r="N700" s="9">
        <v>0</v>
      </c>
    </row>
    <row r="701" spans="1:14" x14ac:dyDescent="0.3">
      <c r="A701" s="8"/>
      <c r="B701" s="8"/>
      <c r="C701" s="7" t="s">
        <v>167</v>
      </c>
      <c r="D701" s="7"/>
      <c r="E701" s="6" t="s">
        <v>166</v>
      </c>
      <c r="F701" s="9">
        <v>0</v>
      </c>
      <c r="G701" s="9"/>
      <c r="H701" s="9">
        <v>0</v>
      </c>
      <c r="I701" s="9">
        <v>0</v>
      </c>
      <c r="J701" s="380"/>
      <c r="K701" s="9">
        <v>0</v>
      </c>
      <c r="L701" s="9">
        <v>12857.14286</v>
      </c>
      <c r="M701" s="9"/>
      <c r="N701" s="9">
        <v>12857.14286</v>
      </c>
    </row>
    <row r="702" spans="1:14" ht="27" x14ac:dyDescent="0.3">
      <c r="A702" s="8"/>
      <c r="B702" s="8"/>
      <c r="C702" s="7"/>
      <c r="D702" s="7" t="s">
        <v>57</v>
      </c>
      <c r="E702" s="6" t="s">
        <v>56</v>
      </c>
      <c r="F702" s="9">
        <v>0</v>
      </c>
      <c r="G702" s="9"/>
      <c r="H702" s="9">
        <v>0</v>
      </c>
      <c r="I702" s="9">
        <v>0</v>
      </c>
      <c r="J702" s="380"/>
      <c r="K702" s="9">
        <v>0</v>
      </c>
      <c r="L702" s="9">
        <v>12857.14286</v>
      </c>
      <c r="M702" s="9"/>
      <c r="N702" s="9">
        <v>12857.14286</v>
      </c>
    </row>
    <row r="703" spans="1:14" x14ac:dyDescent="0.3">
      <c r="A703" s="8"/>
      <c r="B703" s="8"/>
      <c r="C703" s="7"/>
      <c r="D703" s="7"/>
      <c r="E703" s="6" t="s">
        <v>165</v>
      </c>
      <c r="F703" s="5">
        <v>0</v>
      </c>
      <c r="G703" s="5"/>
      <c r="H703" s="5">
        <v>0</v>
      </c>
      <c r="I703" s="5">
        <v>0</v>
      </c>
      <c r="J703" s="382"/>
      <c r="K703" s="5">
        <v>0</v>
      </c>
      <c r="L703" s="5">
        <v>0</v>
      </c>
      <c r="M703" s="5"/>
      <c r="N703" s="5">
        <v>0</v>
      </c>
    </row>
    <row r="704" spans="1:14" x14ac:dyDescent="0.3">
      <c r="A704" s="8"/>
      <c r="B704" s="8"/>
      <c r="C704" s="7"/>
      <c r="D704" s="7"/>
      <c r="E704" s="6" t="s">
        <v>164</v>
      </c>
      <c r="F704" s="9">
        <v>0</v>
      </c>
      <c r="G704" s="9"/>
      <c r="H704" s="9">
        <v>0</v>
      </c>
      <c r="I704" s="9">
        <v>0</v>
      </c>
      <c r="J704" s="380"/>
      <c r="K704" s="9">
        <v>0</v>
      </c>
      <c r="L704" s="9">
        <v>12857.14286</v>
      </c>
      <c r="M704" s="9"/>
      <c r="N704" s="9">
        <v>12857.14286</v>
      </c>
    </row>
    <row r="705" spans="1:14" ht="26.4" x14ac:dyDescent="0.3">
      <c r="A705" s="40">
        <v>621</v>
      </c>
      <c r="B705" s="42"/>
      <c r="C705" s="41"/>
      <c r="D705" s="40"/>
      <c r="E705" s="39" t="s">
        <v>163</v>
      </c>
      <c r="F705" s="38">
        <f>F706+F736+F788+F797+F804</f>
        <v>104515.55789</v>
      </c>
      <c r="G705" s="38">
        <f>G706+G736+G788+G797+G804</f>
        <v>1609.9421100000002</v>
      </c>
      <c r="H705" s="38">
        <f>H706+H736+H788+H797+H804</f>
        <v>106125.5</v>
      </c>
      <c r="I705" s="38">
        <f>I706+I736+I788+I797+I804</f>
        <v>98468.957890000005</v>
      </c>
      <c r="J705" s="375"/>
      <c r="K705" s="38">
        <f>K706+K736+K788+K797+K804</f>
        <v>98468.957890000005</v>
      </c>
      <c r="L705" s="38">
        <f>L706+L736+L788+L797+L804</f>
        <v>100821.8</v>
      </c>
      <c r="M705" s="38"/>
      <c r="N705" s="38">
        <f>N706+N736+N788+N797+N804</f>
        <v>100821.8</v>
      </c>
    </row>
    <row r="706" spans="1:14" x14ac:dyDescent="0.3">
      <c r="A706" s="65"/>
      <c r="B706" s="23" t="s">
        <v>162</v>
      </c>
      <c r="C706" s="22"/>
      <c r="D706" s="21"/>
      <c r="E706" s="20" t="s">
        <v>161</v>
      </c>
      <c r="F706" s="27">
        <f>F707+F718+F729</f>
        <v>22864.199999999997</v>
      </c>
      <c r="G706" s="27">
        <f>G707+G718+G729</f>
        <v>169.7</v>
      </c>
      <c r="H706" s="27">
        <f>H707+H718+H729</f>
        <v>23033.899999999998</v>
      </c>
      <c r="I706" s="27">
        <f>I707+I718+I729</f>
        <v>22565.699999999997</v>
      </c>
      <c r="J706" s="381"/>
      <c r="K706" s="27">
        <f>K707+K718+K729</f>
        <v>22565.699999999997</v>
      </c>
      <c r="L706" s="27">
        <f>L707+L718+L729</f>
        <v>22864.199999999997</v>
      </c>
      <c r="M706" s="27"/>
      <c r="N706" s="27">
        <f>N707+N718+N729</f>
        <v>22864.199999999997</v>
      </c>
    </row>
    <row r="707" spans="1:14" x14ac:dyDescent="0.3">
      <c r="A707" s="65"/>
      <c r="B707" s="23" t="s">
        <v>160</v>
      </c>
      <c r="C707" s="22"/>
      <c r="D707" s="21"/>
      <c r="E707" s="20" t="s">
        <v>159</v>
      </c>
      <c r="F707" s="27">
        <f>F708+F714</f>
        <v>22356.6</v>
      </c>
      <c r="G707" s="27">
        <f>G708+G714</f>
        <v>236.7</v>
      </c>
      <c r="H707" s="27">
        <f>H708+H714</f>
        <v>22593.3</v>
      </c>
      <c r="I707" s="27">
        <f t="shared" ref="F707:N712" si="98">I708</f>
        <v>22356.6</v>
      </c>
      <c r="J707" s="381"/>
      <c r="K707" s="27">
        <f t="shared" si="98"/>
        <v>22356.6</v>
      </c>
      <c r="L707" s="27">
        <f t="shared" si="98"/>
        <v>22356.6</v>
      </c>
      <c r="M707" s="27"/>
      <c r="N707" s="27">
        <f t="shared" si="98"/>
        <v>22356.6</v>
      </c>
    </row>
    <row r="708" spans="1:14" x14ac:dyDescent="0.3">
      <c r="A708" s="65"/>
      <c r="B708" s="23"/>
      <c r="C708" s="22" t="s">
        <v>36</v>
      </c>
      <c r="D708" s="23"/>
      <c r="E708" s="28" t="s">
        <v>35</v>
      </c>
      <c r="F708" s="27">
        <f t="shared" si="98"/>
        <v>22356.6</v>
      </c>
      <c r="G708" s="27"/>
      <c r="H708" s="27">
        <f t="shared" si="98"/>
        <v>22356.6</v>
      </c>
      <c r="I708" s="27">
        <f t="shared" si="98"/>
        <v>22356.6</v>
      </c>
      <c r="J708" s="381"/>
      <c r="K708" s="27">
        <f t="shared" si="98"/>
        <v>22356.6</v>
      </c>
      <c r="L708" s="27">
        <f t="shared" si="98"/>
        <v>22356.6</v>
      </c>
      <c r="M708" s="27"/>
      <c r="N708" s="27">
        <f t="shared" si="98"/>
        <v>22356.6</v>
      </c>
    </row>
    <row r="709" spans="1:14" ht="26.4" x14ac:dyDescent="0.3">
      <c r="A709" s="54"/>
      <c r="B709" s="34"/>
      <c r="C709" s="35" t="s">
        <v>65</v>
      </c>
      <c r="D709" s="34"/>
      <c r="E709" s="33" t="s">
        <v>64</v>
      </c>
      <c r="F709" s="32">
        <f t="shared" si="98"/>
        <v>22356.6</v>
      </c>
      <c r="G709" s="32"/>
      <c r="H709" s="32">
        <f t="shared" si="98"/>
        <v>22356.6</v>
      </c>
      <c r="I709" s="32">
        <f t="shared" si="98"/>
        <v>22356.6</v>
      </c>
      <c r="J709" s="377"/>
      <c r="K709" s="32">
        <f t="shared" si="98"/>
        <v>22356.6</v>
      </c>
      <c r="L709" s="32">
        <f t="shared" si="98"/>
        <v>22356.6</v>
      </c>
      <c r="M709" s="32"/>
      <c r="N709" s="32">
        <f t="shared" si="98"/>
        <v>22356.6</v>
      </c>
    </row>
    <row r="710" spans="1:14" ht="27" x14ac:dyDescent="0.3">
      <c r="A710" s="31"/>
      <c r="B710" s="31"/>
      <c r="C710" s="31" t="s">
        <v>101</v>
      </c>
      <c r="D710" s="31"/>
      <c r="E710" s="52" t="s">
        <v>100</v>
      </c>
      <c r="F710" s="29">
        <f t="shared" si="98"/>
        <v>22356.6</v>
      </c>
      <c r="G710" s="29"/>
      <c r="H710" s="29">
        <f t="shared" si="98"/>
        <v>22356.6</v>
      </c>
      <c r="I710" s="29">
        <f t="shared" si="98"/>
        <v>22356.6</v>
      </c>
      <c r="J710" s="378"/>
      <c r="K710" s="29">
        <f t="shared" si="98"/>
        <v>22356.6</v>
      </c>
      <c r="L710" s="29">
        <f t="shared" si="98"/>
        <v>22356.6</v>
      </c>
      <c r="M710" s="29"/>
      <c r="N710" s="29">
        <f t="shared" si="98"/>
        <v>22356.6</v>
      </c>
    </row>
    <row r="711" spans="1:14" ht="27" x14ac:dyDescent="0.3">
      <c r="A711" s="223"/>
      <c r="B711" s="223"/>
      <c r="C711" s="223" t="s">
        <v>158</v>
      </c>
      <c r="D711" s="223"/>
      <c r="E711" s="224" t="s">
        <v>157</v>
      </c>
      <c r="F711" s="225">
        <f t="shared" si="98"/>
        <v>22356.6</v>
      </c>
      <c r="G711" s="225"/>
      <c r="H711" s="225">
        <f t="shared" si="98"/>
        <v>22356.6</v>
      </c>
      <c r="I711" s="225">
        <f t="shared" si="98"/>
        <v>22356.6</v>
      </c>
      <c r="J711" s="379"/>
      <c r="K711" s="225">
        <f t="shared" si="98"/>
        <v>22356.6</v>
      </c>
      <c r="L711" s="225">
        <f t="shared" si="98"/>
        <v>22356.6</v>
      </c>
      <c r="M711" s="225"/>
      <c r="N711" s="225">
        <f t="shared" si="98"/>
        <v>22356.6</v>
      </c>
    </row>
    <row r="712" spans="1:14" x14ac:dyDescent="0.3">
      <c r="A712" s="8"/>
      <c r="B712" s="8"/>
      <c r="C712" s="7" t="s">
        <v>156</v>
      </c>
      <c r="D712" s="7"/>
      <c r="E712" s="64" t="s">
        <v>155</v>
      </c>
      <c r="F712" s="9">
        <f t="shared" si="98"/>
        <v>22356.6</v>
      </c>
      <c r="G712" s="9"/>
      <c r="H712" s="9">
        <f t="shared" si="98"/>
        <v>22356.6</v>
      </c>
      <c r="I712" s="9">
        <f t="shared" si="98"/>
        <v>22356.6</v>
      </c>
      <c r="J712" s="380"/>
      <c r="K712" s="9">
        <f t="shared" si="98"/>
        <v>22356.6</v>
      </c>
      <c r="L712" s="9">
        <f t="shared" si="98"/>
        <v>22356.6</v>
      </c>
      <c r="M712" s="9"/>
      <c r="N712" s="9">
        <f t="shared" si="98"/>
        <v>22356.6</v>
      </c>
    </row>
    <row r="713" spans="1:14" ht="27" x14ac:dyDescent="0.3">
      <c r="A713" s="8"/>
      <c r="B713" s="8"/>
      <c r="C713" s="7"/>
      <c r="D713" s="7" t="s">
        <v>57</v>
      </c>
      <c r="E713" s="6" t="s">
        <v>56</v>
      </c>
      <c r="F713" s="9">
        <v>22356.6</v>
      </c>
      <c r="G713" s="9"/>
      <c r="H713" s="9">
        <v>22356.6</v>
      </c>
      <c r="I713" s="9">
        <v>22356.6</v>
      </c>
      <c r="J713" s="380"/>
      <c r="K713" s="9">
        <v>22356.6</v>
      </c>
      <c r="L713" s="9">
        <v>22356.6</v>
      </c>
      <c r="M713" s="9"/>
      <c r="N713" s="9">
        <v>22356.6</v>
      </c>
    </row>
    <row r="714" spans="1:14" x14ac:dyDescent="0.3">
      <c r="A714" s="18"/>
      <c r="B714" s="18"/>
      <c r="C714" s="18" t="s">
        <v>18</v>
      </c>
      <c r="D714" s="18"/>
      <c r="E714" s="17" t="s">
        <v>17</v>
      </c>
      <c r="F714" s="16">
        <f t="shared" ref="F714:I715" si="99">F715</f>
        <v>0</v>
      </c>
      <c r="G714" s="16">
        <f t="shared" si="99"/>
        <v>236.7</v>
      </c>
      <c r="H714" s="16">
        <f t="shared" si="99"/>
        <v>236.7</v>
      </c>
      <c r="I714" s="16">
        <f t="shared" si="99"/>
        <v>0</v>
      </c>
      <c r="J714" s="16"/>
      <c r="K714" s="16">
        <f>K715</f>
        <v>0</v>
      </c>
      <c r="L714" s="16">
        <f>L715</f>
        <v>0</v>
      </c>
      <c r="M714" s="16"/>
      <c r="N714" s="16">
        <f>N715</f>
        <v>0</v>
      </c>
    </row>
    <row r="715" spans="1:14" ht="27" x14ac:dyDescent="0.3">
      <c r="A715" s="15"/>
      <c r="B715" s="15"/>
      <c r="C715" s="15" t="s">
        <v>16</v>
      </c>
      <c r="D715" s="15"/>
      <c r="E715" s="14" t="s">
        <v>15</v>
      </c>
      <c r="F715" s="13">
        <f>F716</f>
        <v>0</v>
      </c>
      <c r="G715" s="13">
        <f t="shared" si="99"/>
        <v>236.7</v>
      </c>
      <c r="H715" s="13">
        <f t="shared" si="99"/>
        <v>236.7</v>
      </c>
      <c r="I715" s="13">
        <f t="shared" si="99"/>
        <v>0</v>
      </c>
      <c r="J715" s="13"/>
      <c r="K715" s="13">
        <f>K716</f>
        <v>0</v>
      </c>
      <c r="L715" s="13">
        <f>L716</f>
        <v>0</v>
      </c>
      <c r="M715" s="13"/>
      <c r="N715" s="13">
        <f>N716</f>
        <v>0</v>
      </c>
    </row>
    <row r="716" spans="1:14" x14ac:dyDescent="0.3">
      <c r="A716" s="8"/>
      <c r="B716" s="8"/>
      <c r="C716" s="55" t="s">
        <v>535</v>
      </c>
      <c r="D716" s="55"/>
      <c r="E716" s="10" t="s">
        <v>534</v>
      </c>
      <c r="F716" s="9">
        <f>F717</f>
        <v>0</v>
      </c>
      <c r="G716" s="9">
        <f>G717</f>
        <v>236.7</v>
      </c>
      <c r="H716" s="9">
        <f>H717</f>
        <v>236.7</v>
      </c>
      <c r="I716" s="9">
        <v>0</v>
      </c>
      <c r="J716" s="380"/>
      <c r="K716" s="9">
        <v>0</v>
      </c>
      <c r="L716" s="9">
        <v>0</v>
      </c>
      <c r="M716" s="9"/>
      <c r="N716" s="9">
        <v>0</v>
      </c>
    </row>
    <row r="717" spans="1:14" ht="27" x14ac:dyDescent="0.3">
      <c r="A717" s="8"/>
      <c r="B717" s="8"/>
      <c r="C717" s="55"/>
      <c r="D717" s="7" t="s">
        <v>57</v>
      </c>
      <c r="E717" s="6" t="s">
        <v>56</v>
      </c>
      <c r="F717" s="9">
        <v>0</v>
      </c>
      <c r="G717" s="9">
        <v>236.7</v>
      </c>
      <c r="H717" s="9">
        <f>0+236.7</f>
        <v>236.7</v>
      </c>
      <c r="I717" s="9">
        <f>1193.9-1193.9</f>
        <v>0</v>
      </c>
      <c r="J717" s="380"/>
      <c r="K717" s="9">
        <f>1193.9-1193.9</f>
        <v>0</v>
      </c>
      <c r="L717" s="9">
        <f>1243.6-1243.6</f>
        <v>0</v>
      </c>
      <c r="M717" s="9"/>
      <c r="N717" s="9">
        <f>1243.6-1243.6</f>
        <v>0</v>
      </c>
    </row>
    <row r="718" spans="1:14" x14ac:dyDescent="0.3">
      <c r="A718" s="53"/>
      <c r="B718" s="23" t="s">
        <v>154</v>
      </c>
      <c r="C718" s="22"/>
      <c r="D718" s="23"/>
      <c r="E718" s="20" t="s">
        <v>153</v>
      </c>
      <c r="F718" s="27">
        <f t="shared" ref="F718:N721" si="100">F719</f>
        <v>365.5</v>
      </c>
      <c r="G718" s="27">
        <f t="shared" si="100"/>
        <v>-67</v>
      </c>
      <c r="H718" s="27">
        <f t="shared" si="100"/>
        <v>298.5</v>
      </c>
      <c r="I718" s="27">
        <f t="shared" si="100"/>
        <v>67</v>
      </c>
      <c r="J718" s="381"/>
      <c r="K718" s="27">
        <f t="shared" si="100"/>
        <v>67</v>
      </c>
      <c r="L718" s="27">
        <f t="shared" si="100"/>
        <v>365.5</v>
      </c>
      <c r="M718" s="27"/>
      <c r="N718" s="27">
        <f t="shared" si="100"/>
        <v>365.5</v>
      </c>
    </row>
    <row r="719" spans="1:14" x14ac:dyDescent="0.3">
      <c r="A719" s="53"/>
      <c r="B719" s="23"/>
      <c r="C719" s="22" t="s">
        <v>36</v>
      </c>
      <c r="D719" s="23"/>
      <c r="E719" s="28" t="s">
        <v>35</v>
      </c>
      <c r="F719" s="27">
        <f t="shared" si="100"/>
        <v>365.5</v>
      </c>
      <c r="G719" s="27">
        <f t="shared" si="100"/>
        <v>-67</v>
      </c>
      <c r="H719" s="27">
        <f t="shared" si="100"/>
        <v>298.5</v>
      </c>
      <c r="I719" s="27">
        <f t="shared" si="100"/>
        <v>67</v>
      </c>
      <c r="J719" s="381"/>
      <c r="K719" s="27">
        <f t="shared" si="100"/>
        <v>67</v>
      </c>
      <c r="L719" s="27">
        <f t="shared" si="100"/>
        <v>365.5</v>
      </c>
      <c r="M719" s="27"/>
      <c r="N719" s="27">
        <f t="shared" si="100"/>
        <v>365.5</v>
      </c>
    </row>
    <row r="720" spans="1:14" ht="26.4" x14ac:dyDescent="0.3">
      <c r="A720" s="54"/>
      <c r="B720" s="34"/>
      <c r="C720" s="35" t="s">
        <v>65</v>
      </c>
      <c r="D720" s="34"/>
      <c r="E720" s="33" t="s">
        <v>64</v>
      </c>
      <c r="F720" s="32">
        <f t="shared" si="100"/>
        <v>365.5</v>
      </c>
      <c r="G720" s="32">
        <f t="shared" si="100"/>
        <v>-67</v>
      </c>
      <c r="H720" s="32">
        <f t="shared" si="100"/>
        <v>298.5</v>
      </c>
      <c r="I720" s="32">
        <f t="shared" si="100"/>
        <v>67</v>
      </c>
      <c r="J720" s="377"/>
      <c r="K720" s="32">
        <f t="shared" si="100"/>
        <v>67</v>
      </c>
      <c r="L720" s="32">
        <f t="shared" si="100"/>
        <v>365.5</v>
      </c>
      <c r="M720" s="32"/>
      <c r="N720" s="32">
        <f t="shared" si="100"/>
        <v>365.5</v>
      </c>
    </row>
    <row r="721" spans="1:14" x14ac:dyDescent="0.3">
      <c r="A721" s="31"/>
      <c r="B721" s="31"/>
      <c r="C721" s="31" t="s">
        <v>152</v>
      </c>
      <c r="D721" s="31"/>
      <c r="E721" s="52" t="s">
        <v>151</v>
      </c>
      <c r="F721" s="29">
        <f t="shared" si="100"/>
        <v>365.5</v>
      </c>
      <c r="G721" s="29">
        <f t="shared" si="100"/>
        <v>-67</v>
      </c>
      <c r="H721" s="29">
        <f t="shared" si="100"/>
        <v>298.5</v>
      </c>
      <c r="I721" s="29">
        <f t="shared" si="100"/>
        <v>67</v>
      </c>
      <c r="J721" s="378"/>
      <c r="K721" s="29">
        <f t="shared" si="100"/>
        <v>67</v>
      </c>
      <c r="L721" s="29">
        <f t="shared" si="100"/>
        <v>365.5</v>
      </c>
      <c r="M721" s="29"/>
      <c r="N721" s="29">
        <f t="shared" si="100"/>
        <v>365.5</v>
      </c>
    </row>
    <row r="722" spans="1:14" x14ac:dyDescent="0.3">
      <c r="A722" s="223"/>
      <c r="B722" s="223"/>
      <c r="C722" s="223" t="s">
        <v>150</v>
      </c>
      <c r="D722" s="223"/>
      <c r="E722" s="224" t="s">
        <v>149</v>
      </c>
      <c r="F722" s="225">
        <f>F723+F725</f>
        <v>365.5</v>
      </c>
      <c r="G722" s="225">
        <f>G723+G725</f>
        <v>-67</v>
      </c>
      <c r="H722" s="225">
        <f>H723+H725</f>
        <v>298.5</v>
      </c>
      <c r="I722" s="225">
        <f>I723+I725</f>
        <v>67</v>
      </c>
      <c r="J722" s="379"/>
      <c r="K722" s="225">
        <f>K723+K725</f>
        <v>67</v>
      </c>
      <c r="L722" s="225">
        <f>L723+L725</f>
        <v>365.5</v>
      </c>
      <c r="M722" s="225"/>
      <c r="N722" s="225">
        <f>N723+N725</f>
        <v>365.5</v>
      </c>
    </row>
    <row r="723" spans="1:14" ht="66.599999999999994" x14ac:dyDescent="0.3">
      <c r="A723" s="8"/>
      <c r="B723" s="8"/>
      <c r="C723" s="7" t="s">
        <v>148</v>
      </c>
      <c r="D723" s="7"/>
      <c r="E723" s="6" t="s">
        <v>147</v>
      </c>
      <c r="F723" s="9">
        <f>F724</f>
        <v>298.5</v>
      </c>
      <c r="G723" s="9"/>
      <c r="H723" s="9">
        <f>H724</f>
        <v>298.5</v>
      </c>
      <c r="I723" s="9">
        <f>I724</f>
        <v>0</v>
      </c>
      <c r="J723" s="380"/>
      <c r="K723" s="9">
        <f>K724</f>
        <v>0</v>
      </c>
      <c r="L723" s="9">
        <f>L724</f>
        <v>298.5</v>
      </c>
      <c r="M723" s="9"/>
      <c r="N723" s="9">
        <f>N724</f>
        <v>298.5</v>
      </c>
    </row>
    <row r="724" spans="1:14" ht="27" x14ac:dyDescent="0.3">
      <c r="A724" s="8"/>
      <c r="B724" s="8"/>
      <c r="C724" s="7"/>
      <c r="D724" s="7" t="s">
        <v>57</v>
      </c>
      <c r="E724" s="6" t="s">
        <v>56</v>
      </c>
      <c r="F724" s="9">
        <v>298.5</v>
      </c>
      <c r="G724" s="9"/>
      <c r="H724" s="9">
        <v>298.5</v>
      </c>
      <c r="I724" s="9">
        <v>0</v>
      </c>
      <c r="J724" s="380"/>
      <c r="K724" s="9">
        <v>0</v>
      </c>
      <c r="L724" s="9">
        <v>298.5</v>
      </c>
      <c r="M724" s="9"/>
      <c r="N724" s="9">
        <v>298.5</v>
      </c>
    </row>
    <row r="725" spans="1:14" x14ac:dyDescent="0.3">
      <c r="A725" s="8"/>
      <c r="B725" s="8"/>
      <c r="C725" s="55" t="s">
        <v>146</v>
      </c>
      <c r="D725" s="55"/>
      <c r="E725" s="10" t="s">
        <v>145</v>
      </c>
      <c r="F725" s="9">
        <f>F726</f>
        <v>67</v>
      </c>
      <c r="G725" s="9">
        <f>G726</f>
        <v>-67</v>
      </c>
      <c r="H725" s="9">
        <f>H726</f>
        <v>0</v>
      </c>
      <c r="I725" s="9">
        <f>I726</f>
        <v>67</v>
      </c>
      <c r="J725" s="380"/>
      <c r="K725" s="9">
        <f>K726</f>
        <v>67</v>
      </c>
      <c r="L725" s="9">
        <f>L726</f>
        <v>67</v>
      </c>
      <c r="M725" s="9"/>
      <c r="N725" s="9">
        <f>N726</f>
        <v>67</v>
      </c>
    </row>
    <row r="726" spans="1:14" ht="27" x14ac:dyDescent="0.3">
      <c r="A726" s="8"/>
      <c r="B726" s="8"/>
      <c r="C726" s="55"/>
      <c r="D726" s="7" t="s">
        <v>57</v>
      </c>
      <c r="E726" s="6" t="s">
        <v>56</v>
      </c>
      <c r="F726" s="9">
        <f>F728</f>
        <v>67</v>
      </c>
      <c r="G726" s="9">
        <f>G728</f>
        <v>-67</v>
      </c>
      <c r="H726" s="9">
        <f>H728</f>
        <v>0</v>
      </c>
      <c r="I726" s="9">
        <f>I728</f>
        <v>67</v>
      </c>
      <c r="J726" s="380"/>
      <c r="K726" s="9">
        <f>K728</f>
        <v>67</v>
      </c>
      <c r="L726" s="9">
        <f>L728</f>
        <v>67</v>
      </c>
      <c r="M726" s="9"/>
      <c r="N726" s="9">
        <f>N728</f>
        <v>67</v>
      </c>
    </row>
    <row r="727" spans="1:14" x14ac:dyDescent="0.3">
      <c r="A727" s="8"/>
      <c r="B727" s="8"/>
      <c r="C727" s="7"/>
      <c r="D727" s="7"/>
      <c r="E727" s="10" t="s">
        <v>114</v>
      </c>
      <c r="F727" s="9">
        <v>0</v>
      </c>
      <c r="G727" s="9"/>
      <c r="H727" s="9">
        <v>0</v>
      </c>
      <c r="I727" s="9">
        <v>0</v>
      </c>
      <c r="J727" s="380"/>
      <c r="K727" s="9">
        <v>0</v>
      </c>
      <c r="L727" s="9">
        <v>0</v>
      </c>
      <c r="M727" s="9"/>
      <c r="N727" s="9">
        <v>0</v>
      </c>
    </row>
    <row r="728" spans="1:14" x14ac:dyDescent="0.3">
      <c r="A728" s="8"/>
      <c r="B728" s="8"/>
      <c r="C728" s="7"/>
      <c r="D728" s="7"/>
      <c r="E728" s="10" t="s">
        <v>106</v>
      </c>
      <c r="F728" s="9">
        <v>67</v>
      </c>
      <c r="G728" s="9">
        <v>-67</v>
      </c>
      <c r="H728" s="9">
        <v>0</v>
      </c>
      <c r="I728" s="9">
        <v>67</v>
      </c>
      <c r="J728" s="380"/>
      <c r="K728" s="9">
        <v>67</v>
      </c>
      <c r="L728" s="9">
        <v>67</v>
      </c>
      <c r="M728" s="9"/>
      <c r="N728" s="9">
        <v>67</v>
      </c>
    </row>
    <row r="729" spans="1:14" x14ac:dyDescent="0.3">
      <c r="A729" s="53"/>
      <c r="B729" s="23" t="s">
        <v>144</v>
      </c>
      <c r="C729" s="22"/>
      <c r="D729" s="23"/>
      <c r="E729" s="28" t="s">
        <v>143</v>
      </c>
      <c r="F729" s="27">
        <f t="shared" ref="F729:N734" si="101">F730</f>
        <v>142.1</v>
      </c>
      <c r="G729" s="27"/>
      <c r="H729" s="27">
        <f t="shared" si="101"/>
        <v>142.1</v>
      </c>
      <c r="I729" s="27">
        <f t="shared" si="101"/>
        <v>142.1</v>
      </c>
      <c r="J729" s="381"/>
      <c r="K729" s="27">
        <f t="shared" si="101"/>
        <v>142.1</v>
      </c>
      <c r="L729" s="27">
        <f t="shared" si="101"/>
        <v>142.1</v>
      </c>
      <c r="M729" s="27"/>
      <c r="N729" s="27">
        <f t="shared" si="101"/>
        <v>142.1</v>
      </c>
    </row>
    <row r="730" spans="1:14" x14ac:dyDescent="0.3">
      <c r="A730" s="53"/>
      <c r="B730" s="23"/>
      <c r="C730" s="22" t="s">
        <v>36</v>
      </c>
      <c r="D730" s="23"/>
      <c r="E730" s="28" t="s">
        <v>35</v>
      </c>
      <c r="F730" s="27">
        <f t="shared" si="101"/>
        <v>142.1</v>
      </c>
      <c r="G730" s="27"/>
      <c r="H730" s="27">
        <f t="shared" si="101"/>
        <v>142.1</v>
      </c>
      <c r="I730" s="27">
        <f t="shared" si="101"/>
        <v>142.1</v>
      </c>
      <c r="J730" s="381"/>
      <c r="K730" s="27">
        <f t="shared" si="101"/>
        <v>142.1</v>
      </c>
      <c r="L730" s="27">
        <f t="shared" si="101"/>
        <v>142.1</v>
      </c>
      <c r="M730" s="27"/>
      <c r="N730" s="27">
        <f t="shared" si="101"/>
        <v>142.1</v>
      </c>
    </row>
    <row r="731" spans="1:14" ht="26.4" x14ac:dyDescent="0.3">
      <c r="A731" s="54"/>
      <c r="B731" s="34"/>
      <c r="C731" s="35" t="s">
        <v>87</v>
      </c>
      <c r="D731" s="34"/>
      <c r="E731" s="33" t="s">
        <v>86</v>
      </c>
      <c r="F731" s="32">
        <f t="shared" si="101"/>
        <v>142.1</v>
      </c>
      <c r="G731" s="32"/>
      <c r="H731" s="32">
        <f t="shared" si="101"/>
        <v>142.1</v>
      </c>
      <c r="I731" s="32">
        <f t="shared" si="101"/>
        <v>142.1</v>
      </c>
      <c r="J731" s="377"/>
      <c r="K731" s="32">
        <f t="shared" si="101"/>
        <v>142.1</v>
      </c>
      <c r="L731" s="32">
        <f t="shared" si="101"/>
        <v>142.1</v>
      </c>
      <c r="M731" s="32"/>
      <c r="N731" s="32">
        <f t="shared" si="101"/>
        <v>142.1</v>
      </c>
    </row>
    <row r="732" spans="1:14" x14ac:dyDescent="0.3">
      <c r="A732" s="31"/>
      <c r="B732" s="31"/>
      <c r="C732" s="31" t="s">
        <v>142</v>
      </c>
      <c r="D732" s="31"/>
      <c r="E732" s="30" t="s">
        <v>141</v>
      </c>
      <c r="F732" s="29">
        <f t="shared" si="101"/>
        <v>142.1</v>
      </c>
      <c r="G732" s="29"/>
      <c r="H732" s="29">
        <f t="shared" si="101"/>
        <v>142.1</v>
      </c>
      <c r="I732" s="29">
        <f t="shared" si="101"/>
        <v>142.1</v>
      </c>
      <c r="J732" s="378"/>
      <c r="K732" s="29">
        <f t="shared" si="101"/>
        <v>142.1</v>
      </c>
      <c r="L732" s="29">
        <f t="shared" si="101"/>
        <v>142.1</v>
      </c>
      <c r="M732" s="29"/>
      <c r="N732" s="29">
        <f t="shared" si="101"/>
        <v>142.1</v>
      </c>
    </row>
    <row r="733" spans="1:14" ht="27" customHeight="1" x14ac:dyDescent="0.3">
      <c r="A733" s="223"/>
      <c r="B733" s="223"/>
      <c r="C733" s="223" t="s">
        <v>140</v>
      </c>
      <c r="D733" s="223"/>
      <c r="E733" s="224" t="s">
        <v>139</v>
      </c>
      <c r="F733" s="225">
        <f t="shared" si="101"/>
        <v>142.1</v>
      </c>
      <c r="G733" s="225"/>
      <c r="H733" s="225">
        <f t="shared" si="101"/>
        <v>142.1</v>
      </c>
      <c r="I733" s="225">
        <f t="shared" si="101"/>
        <v>142.1</v>
      </c>
      <c r="J733" s="379"/>
      <c r="K733" s="225">
        <f t="shared" si="101"/>
        <v>142.1</v>
      </c>
      <c r="L733" s="225">
        <f t="shared" si="101"/>
        <v>142.1</v>
      </c>
      <c r="M733" s="225"/>
      <c r="N733" s="225">
        <f t="shared" si="101"/>
        <v>142.1</v>
      </c>
    </row>
    <row r="734" spans="1:14" ht="27" x14ac:dyDescent="0.3">
      <c r="A734" s="8"/>
      <c r="B734" s="8"/>
      <c r="C734" s="7" t="s">
        <v>138</v>
      </c>
      <c r="D734" s="7"/>
      <c r="E734" s="6" t="s">
        <v>137</v>
      </c>
      <c r="F734" s="9">
        <f t="shared" si="101"/>
        <v>142.1</v>
      </c>
      <c r="G734" s="9"/>
      <c r="H734" s="9">
        <f t="shared" si="101"/>
        <v>142.1</v>
      </c>
      <c r="I734" s="9">
        <f t="shared" si="101"/>
        <v>142.1</v>
      </c>
      <c r="J734" s="380"/>
      <c r="K734" s="9">
        <f t="shared" si="101"/>
        <v>142.1</v>
      </c>
      <c r="L734" s="9">
        <f t="shared" si="101"/>
        <v>142.1</v>
      </c>
      <c r="M734" s="9"/>
      <c r="N734" s="9">
        <f t="shared" si="101"/>
        <v>142.1</v>
      </c>
    </row>
    <row r="735" spans="1:14" ht="27" x14ac:dyDescent="0.3">
      <c r="A735" s="8"/>
      <c r="B735" s="8"/>
      <c r="C735" s="7"/>
      <c r="D735" s="7" t="s">
        <v>57</v>
      </c>
      <c r="E735" s="6" t="s">
        <v>56</v>
      </c>
      <c r="F735" s="9">
        <v>142.1</v>
      </c>
      <c r="G735" s="9"/>
      <c r="H735" s="9">
        <v>142.1</v>
      </c>
      <c r="I735" s="9">
        <v>142.1</v>
      </c>
      <c r="J735" s="380"/>
      <c r="K735" s="9">
        <v>142.1</v>
      </c>
      <c r="L735" s="9">
        <v>142.1</v>
      </c>
      <c r="M735" s="9"/>
      <c r="N735" s="9">
        <v>142.1</v>
      </c>
    </row>
    <row r="736" spans="1:14" x14ac:dyDescent="0.3">
      <c r="A736" s="21"/>
      <c r="B736" s="23" t="s">
        <v>136</v>
      </c>
      <c r="C736" s="22"/>
      <c r="D736" s="21"/>
      <c r="E736" s="20" t="s">
        <v>135</v>
      </c>
      <c r="F736" s="27">
        <f>F737+F765</f>
        <v>80151.257889999993</v>
      </c>
      <c r="G736" s="27">
        <f>G737+G765</f>
        <v>1440.2421100000001</v>
      </c>
      <c r="H736" s="27">
        <f>H737+H765</f>
        <v>81591.5</v>
      </c>
      <c r="I736" s="27">
        <f>I737+I765</f>
        <v>74479.157890000002</v>
      </c>
      <c r="J736" s="381"/>
      <c r="K736" s="27">
        <f>K737+K765</f>
        <v>74479.157890000002</v>
      </c>
      <c r="L736" s="27">
        <f>L737+L765</f>
        <v>76457.5</v>
      </c>
      <c r="M736" s="27"/>
      <c r="N736" s="27">
        <f>N737+N765</f>
        <v>76457.5</v>
      </c>
    </row>
    <row r="737" spans="1:14" x14ac:dyDescent="0.3">
      <c r="A737" s="37"/>
      <c r="B737" s="23" t="s">
        <v>134</v>
      </c>
      <c r="C737" s="22"/>
      <c r="D737" s="21"/>
      <c r="E737" s="20" t="s">
        <v>133</v>
      </c>
      <c r="F737" s="27">
        <f t="shared" ref="F737:N739" si="102">F738</f>
        <v>74295.357889999999</v>
      </c>
      <c r="G737" s="27">
        <f t="shared" si="102"/>
        <v>1245.7421100000001</v>
      </c>
      <c r="H737" s="27">
        <f t="shared" si="102"/>
        <v>75541.100000000006</v>
      </c>
      <c r="I737" s="27">
        <f t="shared" si="102"/>
        <v>70695.357889999999</v>
      </c>
      <c r="J737" s="381"/>
      <c r="K737" s="27">
        <f t="shared" si="102"/>
        <v>70695.357889999999</v>
      </c>
      <c r="L737" s="27">
        <f t="shared" si="102"/>
        <v>71195.199999999997</v>
      </c>
      <c r="M737" s="27"/>
      <c r="N737" s="27">
        <f t="shared" si="102"/>
        <v>71195.199999999997</v>
      </c>
    </row>
    <row r="738" spans="1:14" x14ac:dyDescent="0.3">
      <c r="A738" s="37"/>
      <c r="B738" s="23"/>
      <c r="C738" s="22" t="s">
        <v>36</v>
      </c>
      <c r="D738" s="23"/>
      <c r="E738" s="28" t="s">
        <v>35</v>
      </c>
      <c r="F738" s="27">
        <f t="shared" si="102"/>
        <v>74295.357889999999</v>
      </c>
      <c r="G738" s="27">
        <f t="shared" si="102"/>
        <v>1245.7421100000001</v>
      </c>
      <c r="H738" s="27">
        <f t="shared" si="102"/>
        <v>75541.100000000006</v>
      </c>
      <c r="I738" s="27">
        <f t="shared" si="102"/>
        <v>70695.357889999999</v>
      </c>
      <c r="J738" s="381"/>
      <c r="K738" s="27">
        <f t="shared" si="102"/>
        <v>70695.357889999999</v>
      </c>
      <c r="L738" s="27">
        <f t="shared" si="102"/>
        <v>71195.199999999997</v>
      </c>
      <c r="M738" s="27"/>
      <c r="N738" s="27">
        <f t="shared" si="102"/>
        <v>71195.199999999997</v>
      </c>
    </row>
    <row r="739" spans="1:14" ht="26.4" x14ac:dyDescent="0.3">
      <c r="A739" s="54"/>
      <c r="B739" s="34"/>
      <c r="C739" s="35" t="s">
        <v>65</v>
      </c>
      <c r="D739" s="34"/>
      <c r="E739" s="33" t="s">
        <v>64</v>
      </c>
      <c r="F739" s="32">
        <f t="shared" si="102"/>
        <v>74295.357889999999</v>
      </c>
      <c r="G739" s="32">
        <f t="shared" si="102"/>
        <v>1245.7421100000001</v>
      </c>
      <c r="H739" s="32">
        <f t="shared" si="102"/>
        <v>75541.100000000006</v>
      </c>
      <c r="I739" s="32">
        <f t="shared" si="102"/>
        <v>70695.357889999999</v>
      </c>
      <c r="J739" s="377"/>
      <c r="K739" s="32">
        <f t="shared" si="102"/>
        <v>70695.357889999999</v>
      </c>
      <c r="L739" s="32">
        <f t="shared" si="102"/>
        <v>71195.199999999997</v>
      </c>
      <c r="M739" s="32"/>
      <c r="N739" s="32">
        <f t="shared" si="102"/>
        <v>71195.199999999997</v>
      </c>
    </row>
    <row r="740" spans="1:14" ht="27" x14ac:dyDescent="0.3">
      <c r="A740" s="31"/>
      <c r="B740" s="31"/>
      <c r="C740" s="31" t="s">
        <v>101</v>
      </c>
      <c r="D740" s="31"/>
      <c r="E740" s="52" t="s">
        <v>100</v>
      </c>
      <c r="F740" s="29">
        <f>F741+F744+F749+F752+F758</f>
        <v>74295.357889999999</v>
      </c>
      <c r="G740" s="29">
        <f>G741+G744+G749+G752+G758</f>
        <v>1245.7421100000001</v>
      </c>
      <c r="H740" s="29">
        <f>H741+H744+H749+H752+H758</f>
        <v>75541.100000000006</v>
      </c>
      <c r="I740" s="29">
        <f>I741+I744+I749+I752+I758</f>
        <v>70695.357889999999</v>
      </c>
      <c r="J740" s="378"/>
      <c r="K740" s="29">
        <f>K741+K744+K749+K752+K758</f>
        <v>70695.357889999999</v>
      </c>
      <c r="L740" s="29">
        <f>L741+L744+L749+L752+L758</f>
        <v>71195.199999999997</v>
      </c>
      <c r="M740" s="29"/>
      <c r="N740" s="29">
        <f>N741+N744+N749+N752+N758</f>
        <v>71195.199999999997</v>
      </c>
    </row>
    <row r="741" spans="1:14" ht="40.200000000000003" x14ac:dyDescent="0.3">
      <c r="A741" s="223"/>
      <c r="B741" s="223"/>
      <c r="C741" s="223" t="s">
        <v>132</v>
      </c>
      <c r="D741" s="223"/>
      <c r="E741" s="224" t="s">
        <v>131</v>
      </c>
      <c r="F741" s="225">
        <f t="shared" ref="F741:N742" si="103">F742</f>
        <v>48475.8</v>
      </c>
      <c r="G741" s="225"/>
      <c r="H741" s="225">
        <f t="shared" si="103"/>
        <v>48475.8</v>
      </c>
      <c r="I741" s="225">
        <f t="shared" si="103"/>
        <v>48475.8</v>
      </c>
      <c r="J741" s="379"/>
      <c r="K741" s="225">
        <f t="shared" si="103"/>
        <v>48475.8</v>
      </c>
      <c r="L741" s="225">
        <f t="shared" si="103"/>
        <v>48475.8</v>
      </c>
      <c r="M741" s="225"/>
      <c r="N741" s="225">
        <f t="shared" si="103"/>
        <v>48475.8</v>
      </c>
    </row>
    <row r="742" spans="1:14" x14ac:dyDescent="0.3">
      <c r="A742" s="7"/>
      <c r="B742" s="7"/>
      <c r="C742" s="7" t="s">
        <v>130</v>
      </c>
      <c r="D742" s="7"/>
      <c r="E742" s="64" t="s">
        <v>129</v>
      </c>
      <c r="F742" s="9">
        <f t="shared" si="103"/>
        <v>48475.8</v>
      </c>
      <c r="G742" s="9"/>
      <c r="H742" s="9">
        <f t="shared" si="103"/>
        <v>48475.8</v>
      </c>
      <c r="I742" s="9">
        <f t="shared" si="103"/>
        <v>48475.8</v>
      </c>
      <c r="J742" s="380"/>
      <c r="K742" s="9">
        <f t="shared" si="103"/>
        <v>48475.8</v>
      </c>
      <c r="L742" s="9">
        <f t="shared" si="103"/>
        <v>48475.8</v>
      </c>
      <c r="M742" s="9"/>
      <c r="N742" s="9">
        <f t="shared" si="103"/>
        <v>48475.8</v>
      </c>
    </row>
    <row r="743" spans="1:14" ht="27" x14ac:dyDescent="0.3">
      <c r="A743" s="7"/>
      <c r="B743" s="7"/>
      <c r="C743" s="7"/>
      <c r="D743" s="7" t="s">
        <v>57</v>
      </c>
      <c r="E743" s="6" t="s">
        <v>56</v>
      </c>
      <c r="F743" s="9">
        <f>49854.3-1378.5</f>
        <v>48475.8</v>
      </c>
      <c r="G743" s="9"/>
      <c r="H743" s="9">
        <f>49854.3-1378.5</f>
        <v>48475.8</v>
      </c>
      <c r="I743" s="9">
        <f>49854.3-1378.5</f>
        <v>48475.8</v>
      </c>
      <c r="J743" s="380"/>
      <c r="K743" s="9">
        <f>49854.3-1378.5</f>
        <v>48475.8</v>
      </c>
      <c r="L743" s="9">
        <f>49854.3-1378.5</f>
        <v>48475.8</v>
      </c>
      <c r="M743" s="9"/>
      <c r="N743" s="9">
        <f>49854.3-1378.5</f>
        <v>48475.8</v>
      </c>
    </row>
    <row r="744" spans="1:14" x14ac:dyDescent="0.3">
      <c r="A744" s="223"/>
      <c r="B744" s="223"/>
      <c r="C744" s="223" t="s">
        <v>128</v>
      </c>
      <c r="D744" s="223"/>
      <c r="E744" s="224" t="s">
        <v>127</v>
      </c>
      <c r="F744" s="225">
        <f>F745+F747</f>
        <v>21246</v>
      </c>
      <c r="G744" s="225">
        <f>G745+G747</f>
        <v>1245.9000000000001</v>
      </c>
      <c r="H744" s="225">
        <f>H745+H747</f>
        <v>22491.9</v>
      </c>
      <c r="I744" s="225">
        <f>I745+I747</f>
        <v>20746</v>
      </c>
      <c r="J744" s="379"/>
      <c r="K744" s="225">
        <f>K745+K747</f>
        <v>20746</v>
      </c>
      <c r="L744" s="225">
        <f>L745+L747</f>
        <v>21246</v>
      </c>
      <c r="M744" s="225"/>
      <c r="N744" s="225">
        <f>N745+N747</f>
        <v>21246</v>
      </c>
    </row>
    <row r="745" spans="1:14" ht="27" x14ac:dyDescent="0.3">
      <c r="A745" s="7"/>
      <c r="B745" s="7"/>
      <c r="C745" s="7" t="s">
        <v>126</v>
      </c>
      <c r="D745" s="7"/>
      <c r="E745" s="64" t="s">
        <v>125</v>
      </c>
      <c r="F745" s="9">
        <f>F746</f>
        <v>20746</v>
      </c>
      <c r="G745" s="9">
        <f>G746</f>
        <v>1245.9000000000001</v>
      </c>
      <c r="H745" s="9">
        <f>H746</f>
        <v>21991.9</v>
      </c>
      <c r="I745" s="9">
        <f>I746</f>
        <v>20746</v>
      </c>
      <c r="J745" s="380"/>
      <c r="K745" s="9">
        <f>K746</f>
        <v>20746</v>
      </c>
      <c r="L745" s="9">
        <f>L746</f>
        <v>20746</v>
      </c>
      <c r="M745" s="9"/>
      <c r="N745" s="9">
        <f>N746</f>
        <v>20746</v>
      </c>
    </row>
    <row r="746" spans="1:14" ht="27" x14ac:dyDescent="0.3">
      <c r="A746" s="7"/>
      <c r="B746" s="7"/>
      <c r="C746" s="7"/>
      <c r="D746" s="7" t="s">
        <v>57</v>
      </c>
      <c r="E746" s="6" t="s">
        <v>56</v>
      </c>
      <c r="F746" s="9">
        <v>20746</v>
      </c>
      <c r="G746" s="9">
        <v>1245.9000000000001</v>
      </c>
      <c r="H746" s="9">
        <f>20746+1245.9</f>
        <v>21991.9</v>
      </c>
      <c r="I746" s="9">
        <v>20746</v>
      </c>
      <c r="J746" s="380"/>
      <c r="K746" s="9">
        <v>20746</v>
      </c>
      <c r="L746" s="9">
        <v>20746</v>
      </c>
      <c r="M746" s="9"/>
      <c r="N746" s="9">
        <v>20746</v>
      </c>
    </row>
    <row r="747" spans="1:14" x14ac:dyDescent="0.3">
      <c r="A747" s="7"/>
      <c r="B747" s="7"/>
      <c r="C747" s="7" t="s">
        <v>124</v>
      </c>
      <c r="D747" s="7"/>
      <c r="E747" s="64" t="s">
        <v>123</v>
      </c>
      <c r="F747" s="9">
        <v>500</v>
      </c>
      <c r="G747" s="9"/>
      <c r="H747" s="9">
        <v>500</v>
      </c>
      <c r="I747" s="9">
        <v>0</v>
      </c>
      <c r="J747" s="380"/>
      <c r="K747" s="9">
        <v>0</v>
      </c>
      <c r="L747" s="9">
        <v>500</v>
      </c>
      <c r="M747" s="9"/>
      <c r="N747" s="9">
        <v>500</v>
      </c>
    </row>
    <row r="748" spans="1:14" ht="27" x14ac:dyDescent="0.3">
      <c r="A748" s="7"/>
      <c r="B748" s="7"/>
      <c r="C748" s="7"/>
      <c r="D748" s="7" t="s">
        <v>57</v>
      </c>
      <c r="E748" s="6" t="s">
        <v>56</v>
      </c>
      <c r="F748" s="9">
        <v>500</v>
      </c>
      <c r="G748" s="9"/>
      <c r="H748" s="9">
        <v>500</v>
      </c>
      <c r="I748" s="9">
        <v>0</v>
      </c>
      <c r="J748" s="380"/>
      <c r="K748" s="9">
        <v>0</v>
      </c>
      <c r="L748" s="9">
        <v>500</v>
      </c>
      <c r="M748" s="9"/>
      <c r="N748" s="9">
        <v>500</v>
      </c>
    </row>
    <row r="749" spans="1:14" ht="27" x14ac:dyDescent="0.3">
      <c r="A749" s="223"/>
      <c r="B749" s="223"/>
      <c r="C749" s="223" t="s">
        <v>122</v>
      </c>
      <c r="D749" s="223"/>
      <c r="E749" s="224" t="s">
        <v>121</v>
      </c>
      <c r="F749" s="225">
        <f t="shared" ref="F749:N750" si="104">F750</f>
        <v>1473.4</v>
      </c>
      <c r="G749" s="225"/>
      <c r="H749" s="225">
        <f t="shared" si="104"/>
        <v>1473.4</v>
      </c>
      <c r="I749" s="225">
        <f t="shared" si="104"/>
        <v>1473.4</v>
      </c>
      <c r="J749" s="379"/>
      <c r="K749" s="225">
        <f t="shared" si="104"/>
        <v>1473.4</v>
      </c>
      <c r="L749" s="225">
        <f t="shared" si="104"/>
        <v>1473.4</v>
      </c>
      <c r="M749" s="225"/>
      <c r="N749" s="225">
        <f t="shared" si="104"/>
        <v>1473.4</v>
      </c>
    </row>
    <row r="750" spans="1:14" x14ac:dyDescent="0.3">
      <c r="A750" s="7"/>
      <c r="B750" s="7"/>
      <c r="C750" s="7" t="s">
        <v>120</v>
      </c>
      <c r="D750" s="7"/>
      <c r="E750" s="64" t="s">
        <v>119</v>
      </c>
      <c r="F750" s="9">
        <f t="shared" si="104"/>
        <v>1473.4</v>
      </c>
      <c r="G750" s="9"/>
      <c r="H750" s="9">
        <f t="shared" si="104"/>
        <v>1473.4</v>
      </c>
      <c r="I750" s="9">
        <f t="shared" si="104"/>
        <v>1473.4</v>
      </c>
      <c r="J750" s="380"/>
      <c r="K750" s="9">
        <f t="shared" si="104"/>
        <v>1473.4</v>
      </c>
      <c r="L750" s="9">
        <f t="shared" si="104"/>
        <v>1473.4</v>
      </c>
      <c r="M750" s="9"/>
      <c r="N750" s="9">
        <f t="shared" si="104"/>
        <v>1473.4</v>
      </c>
    </row>
    <row r="751" spans="1:14" ht="27" x14ac:dyDescent="0.3">
      <c r="A751" s="7"/>
      <c r="B751" s="7"/>
      <c r="C751" s="7"/>
      <c r="D751" s="7" t="s">
        <v>57</v>
      </c>
      <c r="E751" s="6" t="s">
        <v>56</v>
      </c>
      <c r="F751" s="9">
        <v>1473.4</v>
      </c>
      <c r="G751" s="9"/>
      <c r="H751" s="9">
        <v>1473.4</v>
      </c>
      <c r="I751" s="9">
        <v>1473.4</v>
      </c>
      <c r="J751" s="380"/>
      <c r="K751" s="9">
        <v>1473.4</v>
      </c>
      <c r="L751" s="9">
        <v>1473.4</v>
      </c>
      <c r="M751" s="9"/>
      <c r="N751" s="9">
        <v>1473.4</v>
      </c>
    </row>
    <row r="752" spans="1:14" s="58" customFormat="1" ht="40.200000000000003" x14ac:dyDescent="0.3">
      <c r="A752" s="223"/>
      <c r="B752" s="223"/>
      <c r="C752" s="223" t="s">
        <v>118</v>
      </c>
      <c r="D752" s="223"/>
      <c r="E752" s="226" t="s">
        <v>117</v>
      </c>
      <c r="F752" s="225">
        <f>F753+F755</f>
        <v>3100</v>
      </c>
      <c r="G752" s="225">
        <f>G753+G755</f>
        <v>0</v>
      </c>
      <c r="H752" s="225">
        <f>H753+H755</f>
        <v>3100</v>
      </c>
      <c r="I752" s="225">
        <v>0</v>
      </c>
      <c r="J752" s="379"/>
      <c r="K752" s="225">
        <v>0</v>
      </c>
      <c r="L752" s="225">
        <v>0</v>
      </c>
      <c r="M752" s="225"/>
      <c r="N752" s="225">
        <v>0</v>
      </c>
    </row>
    <row r="753" spans="1:14" ht="40.200000000000003" x14ac:dyDescent="0.3">
      <c r="A753" s="8"/>
      <c r="B753" s="8"/>
      <c r="C753" s="7" t="s">
        <v>616</v>
      </c>
      <c r="D753" s="7"/>
      <c r="E753" s="6" t="s">
        <v>113</v>
      </c>
      <c r="F753" s="59">
        <f>F754</f>
        <v>2600</v>
      </c>
      <c r="G753" s="59"/>
      <c r="H753" s="59">
        <f>H754</f>
        <v>2600</v>
      </c>
      <c r="I753" s="5">
        <f>I754</f>
        <v>0</v>
      </c>
      <c r="J753" s="382"/>
      <c r="K753" s="5">
        <f>K754</f>
        <v>0</v>
      </c>
      <c r="L753" s="5">
        <v>0</v>
      </c>
      <c r="M753" s="5"/>
      <c r="N753" s="5">
        <v>0</v>
      </c>
    </row>
    <row r="754" spans="1:14" ht="27" x14ac:dyDescent="0.3">
      <c r="A754" s="8"/>
      <c r="B754" s="8"/>
      <c r="C754" s="61"/>
      <c r="D754" s="7" t="s">
        <v>57</v>
      </c>
      <c r="E754" s="6" t="s">
        <v>56</v>
      </c>
      <c r="F754" s="59">
        <v>2600</v>
      </c>
      <c r="G754" s="59"/>
      <c r="H754" s="59">
        <v>2600</v>
      </c>
      <c r="I754" s="5">
        <f>I755</f>
        <v>0</v>
      </c>
      <c r="J754" s="382"/>
      <c r="K754" s="5">
        <f>K755</f>
        <v>0</v>
      </c>
      <c r="L754" s="5">
        <v>0</v>
      </c>
      <c r="M754" s="5"/>
      <c r="N754" s="5">
        <v>0</v>
      </c>
    </row>
    <row r="755" spans="1:14" ht="27" x14ac:dyDescent="0.3">
      <c r="A755" s="8"/>
      <c r="B755" s="8"/>
      <c r="C755" s="7" t="s">
        <v>739</v>
      </c>
      <c r="D755" s="7"/>
      <c r="E755" s="6" t="s">
        <v>630</v>
      </c>
      <c r="F755" s="59">
        <f t="shared" ref="F755:H756" si="105">F756</f>
        <v>500</v>
      </c>
      <c r="G755" s="59"/>
      <c r="H755" s="59">
        <f t="shared" si="105"/>
        <v>500</v>
      </c>
      <c r="I755" s="5">
        <f>I756</f>
        <v>0</v>
      </c>
      <c r="J755" s="382"/>
      <c r="K755" s="5">
        <f>K756</f>
        <v>0</v>
      </c>
      <c r="L755" s="5">
        <v>0</v>
      </c>
      <c r="M755" s="5"/>
      <c r="N755" s="5">
        <v>0</v>
      </c>
    </row>
    <row r="756" spans="1:14" ht="27" x14ac:dyDescent="0.3">
      <c r="A756" s="8"/>
      <c r="B756" s="8"/>
      <c r="C756" s="61"/>
      <c r="D756" s="7" t="s">
        <v>57</v>
      </c>
      <c r="E756" s="6" t="s">
        <v>56</v>
      </c>
      <c r="F756" s="59">
        <f t="shared" si="105"/>
        <v>500</v>
      </c>
      <c r="G756" s="59"/>
      <c r="H756" s="59">
        <f t="shared" si="105"/>
        <v>500</v>
      </c>
      <c r="I756" s="5">
        <f>I757</f>
        <v>0</v>
      </c>
      <c r="J756" s="382"/>
      <c r="K756" s="5">
        <f>K757</f>
        <v>0</v>
      </c>
      <c r="L756" s="5">
        <v>0</v>
      </c>
      <c r="M756" s="5"/>
      <c r="N756" s="5">
        <v>0</v>
      </c>
    </row>
    <row r="757" spans="1:14" x14ac:dyDescent="0.3">
      <c r="A757" s="8"/>
      <c r="B757" s="8"/>
      <c r="C757" s="61"/>
      <c r="D757" s="7"/>
      <c r="E757" s="6" t="s">
        <v>106</v>
      </c>
      <c r="F757" s="59">
        <v>500</v>
      </c>
      <c r="G757" s="59"/>
      <c r="H757" s="59">
        <f>251.559+248.441</f>
        <v>500</v>
      </c>
      <c r="I757" s="5">
        <v>0</v>
      </c>
      <c r="J757" s="382"/>
      <c r="K757" s="5">
        <v>0</v>
      </c>
      <c r="L757" s="5">
        <v>0</v>
      </c>
      <c r="M757" s="5"/>
      <c r="N757" s="5">
        <v>0</v>
      </c>
    </row>
    <row r="758" spans="1:14" x14ac:dyDescent="0.3">
      <c r="A758" s="227"/>
      <c r="B758" s="227"/>
      <c r="C758" s="228" t="s">
        <v>112</v>
      </c>
      <c r="D758" s="228"/>
      <c r="E758" s="229" t="s">
        <v>111</v>
      </c>
      <c r="F758" s="230">
        <f>F759+F762</f>
        <v>0.15789</v>
      </c>
      <c r="G758" s="230">
        <f>G759+G762</f>
        <v>-0.15789</v>
      </c>
      <c r="H758" s="230">
        <f>H759+H762</f>
        <v>0</v>
      </c>
      <c r="I758" s="230">
        <f>I759+I762</f>
        <v>0.15789</v>
      </c>
      <c r="J758" s="388"/>
      <c r="K758" s="230">
        <f>K759+K762</f>
        <v>0.15789</v>
      </c>
      <c r="L758" s="230">
        <f>L759+L762</f>
        <v>0</v>
      </c>
      <c r="M758" s="230"/>
      <c r="N758" s="230">
        <f>N759+N762</f>
        <v>0</v>
      </c>
    </row>
    <row r="759" spans="1:14" ht="26.4" x14ac:dyDescent="0.3">
      <c r="A759" s="8"/>
      <c r="B759" s="8"/>
      <c r="C759" s="55" t="s">
        <v>110</v>
      </c>
      <c r="D759" s="55"/>
      <c r="E759" s="56" t="s">
        <v>109</v>
      </c>
      <c r="F759" s="59">
        <f t="shared" ref="F759:I760" si="106">F760</f>
        <v>5.2630000000000003E-2</v>
      </c>
      <c r="G759" s="59">
        <f t="shared" si="106"/>
        <v>-5.2630000000000003E-2</v>
      </c>
      <c r="H759" s="59">
        <f t="shared" si="106"/>
        <v>0</v>
      </c>
      <c r="I759" s="59">
        <f t="shared" si="106"/>
        <v>5.2630000000000003E-2</v>
      </c>
      <c r="J759" s="400"/>
      <c r="K759" s="59">
        <f>K760</f>
        <v>5.2630000000000003E-2</v>
      </c>
      <c r="L759" s="59">
        <v>0</v>
      </c>
      <c r="M759" s="59"/>
      <c r="N759" s="59">
        <v>0</v>
      </c>
    </row>
    <row r="760" spans="1:14" ht="26.4" x14ac:dyDescent="0.3">
      <c r="A760" s="8"/>
      <c r="B760" s="8"/>
      <c r="C760" s="23"/>
      <c r="D760" s="55" t="s">
        <v>57</v>
      </c>
      <c r="E760" s="10" t="s">
        <v>56</v>
      </c>
      <c r="F760" s="59">
        <f t="shared" si="106"/>
        <v>5.2630000000000003E-2</v>
      </c>
      <c r="G760" s="59">
        <f t="shared" si="106"/>
        <v>-5.2630000000000003E-2</v>
      </c>
      <c r="H760" s="59">
        <f t="shared" si="106"/>
        <v>0</v>
      </c>
      <c r="I760" s="59">
        <f t="shared" si="106"/>
        <v>5.2630000000000003E-2</v>
      </c>
      <c r="J760" s="400"/>
      <c r="K760" s="59">
        <f>K761</f>
        <v>5.2630000000000003E-2</v>
      </c>
      <c r="L760" s="59">
        <v>0</v>
      </c>
      <c r="M760" s="59"/>
      <c r="N760" s="59">
        <v>0</v>
      </c>
    </row>
    <row r="761" spans="1:14" x14ac:dyDescent="0.3">
      <c r="A761" s="8"/>
      <c r="B761" s="8"/>
      <c r="C761" s="23"/>
      <c r="D761" s="55"/>
      <c r="E761" s="6" t="s">
        <v>106</v>
      </c>
      <c r="F761" s="59">
        <v>5.2630000000000003E-2</v>
      </c>
      <c r="G761" s="59">
        <v>-5.2630000000000003E-2</v>
      </c>
      <c r="H761" s="59">
        <v>0</v>
      </c>
      <c r="I761" s="59">
        <v>5.2630000000000003E-2</v>
      </c>
      <c r="J761" s="400"/>
      <c r="K761" s="59">
        <v>5.2630000000000003E-2</v>
      </c>
      <c r="L761" s="59">
        <v>0</v>
      </c>
      <c r="M761" s="59"/>
      <c r="N761" s="59">
        <v>0</v>
      </c>
    </row>
    <row r="762" spans="1:14" ht="26.4" x14ac:dyDescent="0.3">
      <c r="A762" s="8"/>
      <c r="B762" s="8"/>
      <c r="C762" s="55" t="s">
        <v>108</v>
      </c>
      <c r="D762" s="55"/>
      <c r="E762" s="56" t="s">
        <v>107</v>
      </c>
      <c r="F762" s="59">
        <f t="shared" ref="F762:I763" si="107">F763</f>
        <v>0.10526000000000001</v>
      </c>
      <c r="G762" s="59">
        <f t="shared" si="107"/>
        <v>-0.10526000000000001</v>
      </c>
      <c r="H762" s="59">
        <f t="shared" si="107"/>
        <v>0</v>
      </c>
      <c r="I762" s="59">
        <f t="shared" si="107"/>
        <v>0.10526000000000001</v>
      </c>
      <c r="J762" s="400"/>
      <c r="K762" s="59">
        <f>K763</f>
        <v>0.10526000000000001</v>
      </c>
      <c r="L762" s="59">
        <v>0</v>
      </c>
      <c r="M762" s="59"/>
      <c r="N762" s="59">
        <v>0</v>
      </c>
    </row>
    <row r="763" spans="1:14" ht="26.4" x14ac:dyDescent="0.3">
      <c r="A763" s="8"/>
      <c r="B763" s="8"/>
      <c r="C763" s="23"/>
      <c r="D763" s="55" t="s">
        <v>57</v>
      </c>
      <c r="E763" s="10" t="s">
        <v>56</v>
      </c>
      <c r="F763" s="59">
        <f t="shared" si="107"/>
        <v>0.10526000000000001</v>
      </c>
      <c r="G763" s="59">
        <f t="shared" si="107"/>
        <v>-0.10526000000000001</v>
      </c>
      <c r="H763" s="59">
        <f t="shared" si="107"/>
        <v>0</v>
      </c>
      <c r="I763" s="59">
        <f t="shared" si="107"/>
        <v>0.10526000000000001</v>
      </c>
      <c r="J763" s="400"/>
      <c r="K763" s="59">
        <f>K764</f>
        <v>0.10526000000000001</v>
      </c>
      <c r="L763" s="59">
        <v>0</v>
      </c>
      <c r="M763" s="59"/>
      <c r="N763" s="59">
        <v>0</v>
      </c>
    </row>
    <row r="764" spans="1:14" x14ac:dyDescent="0.3">
      <c r="A764" s="8"/>
      <c r="B764" s="8"/>
      <c r="C764" s="23"/>
      <c r="D764" s="55"/>
      <c r="E764" s="6" t="s">
        <v>106</v>
      </c>
      <c r="F764" s="59">
        <v>0.10526000000000001</v>
      </c>
      <c r="G764" s="59">
        <v>-0.10526000000000001</v>
      </c>
      <c r="H764" s="59">
        <v>0</v>
      </c>
      <c r="I764" s="59">
        <v>0.10526000000000001</v>
      </c>
      <c r="J764" s="400"/>
      <c r="K764" s="59">
        <v>0.10526000000000001</v>
      </c>
      <c r="L764" s="59">
        <v>0</v>
      </c>
      <c r="M764" s="59"/>
      <c r="N764" s="59">
        <v>0</v>
      </c>
    </row>
    <row r="765" spans="1:14" x14ac:dyDescent="0.3">
      <c r="A765" s="37"/>
      <c r="B765" s="23" t="s">
        <v>105</v>
      </c>
      <c r="C765" s="22"/>
      <c r="D765" s="21"/>
      <c r="E765" s="20" t="s">
        <v>104</v>
      </c>
      <c r="F765" s="60">
        <f>F766</f>
        <v>5855.9</v>
      </c>
      <c r="G765" s="60">
        <f>G766</f>
        <v>194.5</v>
      </c>
      <c r="H765" s="60">
        <f>H766</f>
        <v>6050.4</v>
      </c>
      <c r="I765" s="60">
        <f>I766</f>
        <v>3783.8</v>
      </c>
      <c r="J765" s="401"/>
      <c r="K765" s="60">
        <f>K766</f>
        <v>3783.8</v>
      </c>
      <c r="L765" s="60">
        <f>L766</f>
        <v>5262.3</v>
      </c>
      <c r="M765" s="60"/>
      <c r="N765" s="60">
        <f>N766</f>
        <v>5262.3</v>
      </c>
    </row>
    <row r="766" spans="1:14" x14ac:dyDescent="0.3">
      <c r="A766" s="37"/>
      <c r="B766" s="23"/>
      <c r="C766" s="22" t="s">
        <v>36</v>
      </c>
      <c r="D766" s="21"/>
      <c r="E766" s="28" t="s">
        <v>35</v>
      </c>
      <c r="F766" s="60">
        <f>F767+F773</f>
        <v>5855.9</v>
      </c>
      <c r="G766" s="60">
        <f>G767+G773</f>
        <v>194.5</v>
      </c>
      <c r="H766" s="60">
        <f>H767+H773</f>
        <v>6050.4</v>
      </c>
      <c r="I766" s="60">
        <f>I767+I773</f>
        <v>3783.8</v>
      </c>
      <c r="J766" s="401"/>
      <c r="K766" s="60">
        <f>K767+K773</f>
        <v>3783.8</v>
      </c>
      <c r="L766" s="60">
        <f>L767+L773</f>
        <v>5262.3</v>
      </c>
      <c r="M766" s="60"/>
      <c r="N766" s="60">
        <f>N767+N773</f>
        <v>5262.3</v>
      </c>
    </row>
    <row r="767" spans="1:14" ht="26.4" x14ac:dyDescent="0.3">
      <c r="A767" s="36"/>
      <c r="B767" s="34"/>
      <c r="C767" s="35" t="s">
        <v>34</v>
      </c>
      <c r="D767" s="34"/>
      <c r="E767" s="33" t="s">
        <v>103</v>
      </c>
      <c r="F767" s="32">
        <f t="shared" ref="F767:N769" si="108">F768</f>
        <v>3714.1</v>
      </c>
      <c r="G767" s="32"/>
      <c r="H767" s="32">
        <f t="shared" si="108"/>
        <v>3714.1</v>
      </c>
      <c r="I767" s="32">
        <f t="shared" si="108"/>
        <v>3733.8</v>
      </c>
      <c r="J767" s="377"/>
      <c r="K767" s="32">
        <f t="shared" si="108"/>
        <v>3733.8</v>
      </c>
      <c r="L767" s="32">
        <f t="shared" si="108"/>
        <v>3852.5</v>
      </c>
      <c r="M767" s="32"/>
      <c r="N767" s="32">
        <f t="shared" si="108"/>
        <v>3852.5</v>
      </c>
    </row>
    <row r="768" spans="1:14" ht="40.200000000000003" x14ac:dyDescent="0.3">
      <c r="A768" s="31"/>
      <c r="B768" s="31"/>
      <c r="C768" s="31" t="s">
        <v>32</v>
      </c>
      <c r="D768" s="31"/>
      <c r="E768" s="52" t="s">
        <v>102</v>
      </c>
      <c r="F768" s="29">
        <f t="shared" si="108"/>
        <v>3714.1</v>
      </c>
      <c r="G768" s="29"/>
      <c r="H768" s="29">
        <f t="shared" si="108"/>
        <v>3714.1</v>
      </c>
      <c r="I768" s="29">
        <f t="shared" si="108"/>
        <v>3733.8</v>
      </c>
      <c r="J768" s="378"/>
      <c r="K768" s="29">
        <f t="shared" si="108"/>
        <v>3733.8</v>
      </c>
      <c r="L768" s="29">
        <f t="shared" si="108"/>
        <v>3852.5</v>
      </c>
      <c r="M768" s="29"/>
      <c r="N768" s="29">
        <f t="shared" si="108"/>
        <v>3852.5</v>
      </c>
    </row>
    <row r="769" spans="1:14" ht="40.200000000000003" x14ac:dyDescent="0.3">
      <c r="A769" s="223"/>
      <c r="B769" s="223"/>
      <c r="C769" s="223" t="s">
        <v>30</v>
      </c>
      <c r="D769" s="231"/>
      <c r="E769" s="224" t="s">
        <v>29</v>
      </c>
      <c r="F769" s="225">
        <f t="shared" si="108"/>
        <v>3714.1</v>
      </c>
      <c r="G769" s="225"/>
      <c r="H769" s="225">
        <f t="shared" si="108"/>
        <v>3714.1</v>
      </c>
      <c r="I769" s="225">
        <f t="shared" si="108"/>
        <v>3733.8</v>
      </c>
      <c r="J769" s="379"/>
      <c r="K769" s="225">
        <f t="shared" si="108"/>
        <v>3733.8</v>
      </c>
      <c r="L769" s="225">
        <f t="shared" si="108"/>
        <v>3852.5</v>
      </c>
      <c r="M769" s="225"/>
      <c r="N769" s="225">
        <f t="shared" si="108"/>
        <v>3852.5</v>
      </c>
    </row>
    <row r="770" spans="1:14" ht="26.4" x14ac:dyDescent="0.3">
      <c r="A770" s="37"/>
      <c r="B770" s="55"/>
      <c r="C770" s="57" t="s">
        <v>28</v>
      </c>
      <c r="D770" s="55"/>
      <c r="E770" s="10" t="s">
        <v>27</v>
      </c>
      <c r="F770" s="59">
        <f>F771+F772</f>
        <v>3714.1</v>
      </c>
      <c r="G770" s="59"/>
      <c r="H770" s="59">
        <f>H771+H772</f>
        <v>3714.1</v>
      </c>
      <c r="I770" s="59">
        <f>I771+I772</f>
        <v>3733.8</v>
      </c>
      <c r="J770" s="400"/>
      <c r="K770" s="59">
        <f>K771+K772</f>
        <v>3733.8</v>
      </c>
      <c r="L770" s="59">
        <f>L771+L772</f>
        <v>3852.5</v>
      </c>
      <c r="M770" s="59"/>
      <c r="N770" s="59">
        <f>N771+N772</f>
        <v>3852.5</v>
      </c>
    </row>
    <row r="771" spans="1:14" ht="40.200000000000003" x14ac:dyDescent="0.3">
      <c r="A771" s="37"/>
      <c r="B771" s="55"/>
      <c r="C771" s="57"/>
      <c r="D771" s="55" t="s">
        <v>2</v>
      </c>
      <c r="E771" s="6" t="s">
        <v>1</v>
      </c>
      <c r="F771" s="59">
        <f>3455.9+139.5</f>
        <v>3595.4</v>
      </c>
      <c r="G771" s="59"/>
      <c r="H771" s="59">
        <f>3455.9+139.5</f>
        <v>3595.4</v>
      </c>
      <c r="I771" s="59">
        <f>3573.5+160.3</f>
        <v>3733.8</v>
      </c>
      <c r="J771" s="400"/>
      <c r="K771" s="59">
        <f>3573.5+160.3</f>
        <v>3733.8</v>
      </c>
      <c r="L771" s="59">
        <f>3573.5+160.3</f>
        <v>3733.8</v>
      </c>
      <c r="M771" s="59"/>
      <c r="N771" s="59">
        <f>3573.5+160.3</f>
        <v>3733.8</v>
      </c>
    </row>
    <row r="772" spans="1:14" x14ac:dyDescent="0.3">
      <c r="A772" s="37"/>
      <c r="B772" s="55"/>
      <c r="C772" s="57"/>
      <c r="D772" s="55" t="s">
        <v>12</v>
      </c>
      <c r="E772" s="56" t="s">
        <v>11</v>
      </c>
      <c r="F772" s="9">
        <v>118.7</v>
      </c>
      <c r="G772" s="9"/>
      <c r="H772" s="9">
        <v>118.7</v>
      </c>
      <c r="I772" s="9">
        <v>0</v>
      </c>
      <c r="J772" s="380"/>
      <c r="K772" s="9">
        <v>0</v>
      </c>
      <c r="L772" s="9">
        <v>118.7</v>
      </c>
      <c r="M772" s="9"/>
      <c r="N772" s="9">
        <v>118.7</v>
      </c>
    </row>
    <row r="773" spans="1:14" ht="26.4" x14ac:dyDescent="0.3">
      <c r="A773" s="54"/>
      <c r="B773" s="34"/>
      <c r="C773" s="35" t="s">
        <v>65</v>
      </c>
      <c r="D773" s="34"/>
      <c r="E773" s="33" t="s">
        <v>64</v>
      </c>
      <c r="F773" s="32">
        <f>F774</f>
        <v>2141.8000000000002</v>
      </c>
      <c r="G773" s="32">
        <f>G774</f>
        <v>194.5</v>
      </c>
      <c r="H773" s="32">
        <f>H774</f>
        <v>2336.3000000000002</v>
      </c>
      <c r="I773" s="32">
        <f>I774</f>
        <v>50</v>
      </c>
      <c r="J773" s="377"/>
      <c r="K773" s="32">
        <f>K774</f>
        <v>50</v>
      </c>
      <c r="L773" s="32">
        <f>L774</f>
        <v>1409.8</v>
      </c>
      <c r="M773" s="32"/>
      <c r="N773" s="32">
        <f>N774</f>
        <v>1409.8</v>
      </c>
    </row>
    <row r="774" spans="1:14" ht="27" x14ac:dyDescent="0.3">
      <c r="A774" s="31"/>
      <c r="B774" s="31"/>
      <c r="C774" s="31" t="s">
        <v>101</v>
      </c>
      <c r="D774" s="31"/>
      <c r="E774" s="52" t="s">
        <v>100</v>
      </c>
      <c r="F774" s="29">
        <f>F775+F785</f>
        <v>2141.8000000000002</v>
      </c>
      <c r="G774" s="29">
        <f>G775+G785</f>
        <v>194.5</v>
      </c>
      <c r="H774" s="29">
        <f>H775+H785</f>
        <v>2336.3000000000002</v>
      </c>
      <c r="I774" s="29">
        <f>I775+I785</f>
        <v>50</v>
      </c>
      <c r="J774" s="378"/>
      <c r="K774" s="29">
        <f>K775+K785</f>
        <v>50</v>
      </c>
      <c r="L774" s="29">
        <f>L775+L785</f>
        <v>1409.8</v>
      </c>
      <c r="M774" s="29"/>
      <c r="N774" s="29">
        <f>N775+N785</f>
        <v>1409.8</v>
      </c>
    </row>
    <row r="775" spans="1:14" ht="27" x14ac:dyDescent="0.3">
      <c r="A775" s="223"/>
      <c r="B775" s="223"/>
      <c r="C775" s="223" t="s">
        <v>99</v>
      </c>
      <c r="D775" s="231"/>
      <c r="E775" s="224" t="s">
        <v>98</v>
      </c>
      <c r="F775" s="225">
        <f>F776+F778+F780</f>
        <v>2091.8000000000002</v>
      </c>
      <c r="G775" s="225">
        <f>G776+G778+G780+G782</f>
        <v>194.5</v>
      </c>
      <c r="H775" s="225">
        <f>H776+H778+H780+H782</f>
        <v>2286.3000000000002</v>
      </c>
      <c r="I775" s="225">
        <f>I776+I778</f>
        <v>0</v>
      </c>
      <c r="J775" s="379"/>
      <c r="K775" s="225">
        <f>K776+K778</f>
        <v>0</v>
      </c>
      <c r="L775" s="225">
        <f>L776+L778</f>
        <v>1359.8</v>
      </c>
      <c r="M775" s="225"/>
      <c r="N775" s="225">
        <f>N776+N778</f>
        <v>1359.8</v>
      </c>
    </row>
    <row r="776" spans="1:14" ht="53.4" x14ac:dyDescent="0.3">
      <c r="A776" s="7"/>
      <c r="B776" s="7"/>
      <c r="C776" s="7" t="s">
        <v>97</v>
      </c>
      <c r="D776" s="7"/>
      <c r="E776" s="6" t="s">
        <v>96</v>
      </c>
      <c r="F776" s="9">
        <f>F777</f>
        <v>769.8</v>
      </c>
      <c r="G776" s="9">
        <f>G777</f>
        <v>-100</v>
      </c>
      <c r="H776" s="9">
        <f>H777</f>
        <v>669.8</v>
      </c>
      <c r="I776" s="9">
        <f>I777</f>
        <v>0</v>
      </c>
      <c r="J776" s="380"/>
      <c r="K776" s="9">
        <f>K777</f>
        <v>0</v>
      </c>
      <c r="L776" s="9">
        <f>L777</f>
        <v>769.8</v>
      </c>
      <c r="M776" s="9"/>
      <c r="N776" s="9">
        <f>N777</f>
        <v>769.8</v>
      </c>
    </row>
    <row r="777" spans="1:14" ht="27" x14ac:dyDescent="0.3">
      <c r="A777" s="7"/>
      <c r="B777" s="7"/>
      <c r="C777" s="7"/>
      <c r="D777" s="7" t="s">
        <v>57</v>
      </c>
      <c r="E777" s="6" t="s">
        <v>56</v>
      </c>
      <c r="F777" s="9">
        <v>769.8</v>
      </c>
      <c r="G777" s="9">
        <v>-100</v>
      </c>
      <c r="H777" s="9">
        <f>769.8-100</f>
        <v>669.8</v>
      </c>
      <c r="I777" s="9">
        <v>0</v>
      </c>
      <c r="J777" s="380"/>
      <c r="K777" s="9">
        <v>0</v>
      </c>
      <c r="L777" s="9">
        <v>769.8</v>
      </c>
      <c r="M777" s="9"/>
      <c r="N777" s="9">
        <v>769.8</v>
      </c>
    </row>
    <row r="778" spans="1:14" ht="53.4" x14ac:dyDescent="0.3">
      <c r="A778" s="7"/>
      <c r="B778" s="7"/>
      <c r="C778" s="7" t="s">
        <v>95</v>
      </c>
      <c r="D778" s="7"/>
      <c r="E778" s="6" t="s">
        <v>94</v>
      </c>
      <c r="F778" s="9">
        <f>F779</f>
        <v>590</v>
      </c>
      <c r="G778" s="9"/>
      <c r="H778" s="9">
        <f>H779</f>
        <v>590</v>
      </c>
      <c r="I778" s="9">
        <f>I779</f>
        <v>0</v>
      </c>
      <c r="J778" s="380"/>
      <c r="K778" s="9">
        <f>K779</f>
        <v>0</v>
      </c>
      <c r="L778" s="9">
        <f>L779</f>
        <v>590</v>
      </c>
      <c r="M778" s="9"/>
      <c r="N778" s="9">
        <f>N779</f>
        <v>590</v>
      </c>
    </row>
    <row r="779" spans="1:14" s="58" customFormat="1" ht="27" x14ac:dyDescent="0.3">
      <c r="A779" s="7"/>
      <c r="B779" s="7"/>
      <c r="C779" s="7"/>
      <c r="D779" s="7" t="s">
        <v>57</v>
      </c>
      <c r="E779" s="6" t="s">
        <v>56</v>
      </c>
      <c r="F779" s="9">
        <v>590</v>
      </c>
      <c r="G779" s="9"/>
      <c r="H779" s="9">
        <v>590</v>
      </c>
      <c r="I779" s="9">
        <v>0</v>
      </c>
      <c r="J779" s="380"/>
      <c r="K779" s="9">
        <v>0</v>
      </c>
      <c r="L779" s="9">
        <v>590</v>
      </c>
      <c r="M779" s="9"/>
      <c r="N779" s="9">
        <v>590</v>
      </c>
    </row>
    <row r="780" spans="1:14" s="58" customFormat="1" x14ac:dyDescent="0.3">
      <c r="A780" s="7"/>
      <c r="B780" s="7"/>
      <c r="C780" s="7" t="s">
        <v>617</v>
      </c>
      <c r="D780" s="7"/>
      <c r="E780" s="6" t="s">
        <v>618</v>
      </c>
      <c r="F780" s="283">
        <f>F781</f>
        <v>732</v>
      </c>
      <c r="G780" s="283">
        <f>G781</f>
        <v>127.5</v>
      </c>
      <c r="H780" s="283">
        <f>H781</f>
        <v>859.5</v>
      </c>
      <c r="I780" s="9">
        <v>0</v>
      </c>
      <c r="J780" s="380"/>
      <c r="K780" s="9">
        <v>0</v>
      </c>
      <c r="L780" s="9">
        <v>0</v>
      </c>
      <c r="M780" s="9"/>
      <c r="N780" s="9">
        <v>0</v>
      </c>
    </row>
    <row r="781" spans="1:14" s="58" customFormat="1" ht="27" x14ac:dyDescent="0.3">
      <c r="A781" s="7"/>
      <c r="B781" s="7"/>
      <c r="C781" s="7"/>
      <c r="D781" s="7" t="s">
        <v>57</v>
      </c>
      <c r="E781" s="6" t="s">
        <v>56</v>
      </c>
      <c r="F781" s="283">
        <f>560+172</f>
        <v>732</v>
      </c>
      <c r="G781" s="283">
        <v>127.5</v>
      </c>
      <c r="H781" s="283">
        <f>560+172+127.5</f>
        <v>859.5</v>
      </c>
      <c r="I781" s="9">
        <v>0</v>
      </c>
      <c r="J781" s="380"/>
      <c r="K781" s="9">
        <v>0</v>
      </c>
      <c r="L781" s="9">
        <v>0</v>
      </c>
      <c r="M781" s="9"/>
      <c r="N781" s="9">
        <v>0</v>
      </c>
    </row>
    <row r="782" spans="1:14" s="58" customFormat="1" x14ac:dyDescent="0.3">
      <c r="A782" s="7"/>
      <c r="B782" s="7"/>
      <c r="C782" s="7" t="s">
        <v>912</v>
      </c>
      <c r="D782" s="7"/>
      <c r="E782" s="6" t="s">
        <v>872</v>
      </c>
      <c r="F782" s="281">
        <v>0</v>
      </c>
      <c r="G782" s="281">
        <f>G783</f>
        <v>167</v>
      </c>
      <c r="H782" s="281">
        <f>H783</f>
        <v>167</v>
      </c>
      <c r="I782" s="9">
        <v>0</v>
      </c>
      <c r="J782" s="380"/>
      <c r="K782" s="9">
        <v>0</v>
      </c>
      <c r="L782" s="9">
        <v>0</v>
      </c>
      <c r="M782" s="9"/>
      <c r="N782" s="9">
        <v>0</v>
      </c>
    </row>
    <row r="783" spans="1:14" s="58" customFormat="1" x14ac:dyDescent="0.3">
      <c r="A783" s="7"/>
      <c r="B783" s="7"/>
      <c r="C783" s="7"/>
      <c r="D783" s="7" t="s">
        <v>57</v>
      </c>
      <c r="E783" s="6" t="s">
        <v>11</v>
      </c>
      <c r="F783" s="281">
        <v>0</v>
      </c>
      <c r="G783" s="281">
        <v>167</v>
      </c>
      <c r="H783" s="281">
        <v>167</v>
      </c>
      <c r="I783" s="9">
        <v>0</v>
      </c>
      <c r="J783" s="380"/>
      <c r="K783" s="9">
        <v>0</v>
      </c>
      <c r="L783" s="9">
        <v>0</v>
      </c>
      <c r="M783" s="9"/>
      <c r="N783" s="9">
        <v>0</v>
      </c>
    </row>
    <row r="784" spans="1:14" s="58" customFormat="1" x14ac:dyDescent="0.3">
      <c r="A784" s="440"/>
      <c r="B784" s="440"/>
      <c r="C784" s="440"/>
      <c r="D784" s="440"/>
      <c r="E784" s="6" t="s">
        <v>106</v>
      </c>
      <c r="F784" s="442"/>
      <c r="G784" s="281">
        <v>167</v>
      </c>
      <c r="H784" s="281">
        <v>167</v>
      </c>
      <c r="I784" s="443"/>
      <c r="J784" s="443"/>
      <c r="K784" s="443"/>
      <c r="L784" s="443"/>
      <c r="M784" s="443"/>
      <c r="N784" s="443"/>
    </row>
    <row r="785" spans="1:14" x14ac:dyDescent="0.3">
      <c r="A785" s="223"/>
      <c r="B785" s="223"/>
      <c r="C785" s="223" t="s">
        <v>93</v>
      </c>
      <c r="D785" s="231"/>
      <c r="E785" s="224" t="s">
        <v>92</v>
      </c>
      <c r="F785" s="225">
        <f t="shared" ref="F785:N786" si="109">F786</f>
        <v>50</v>
      </c>
      <c r="G785" s="225"/>
      <c r="H785" s="225">
        <f t="shared" si="109"/>
        <v>50</v>
      </c>
      <c r="I785" s="225">
        <f t="shared" si="109"/>
        <v>50</v>
      </c>
      <c r="J785" s="379"/>
      <c r="K785" s="225">
        <f t="shared" si="109"/>
        <v>50</v>
      </c>
      <c r="L785" s="225">
        <f t="shared" si="109"/>
        <v>50</v>
      </c>
      <c r="M785" s="225"/>
      <c r="N785" s="225">
        <f t="shared" si="109"/>
        <v>50</v>
      </c>
    </row>
    <row r="786" spans="1:14" x14ac:dyDescent="0.3">
      <c r="A786" s="7"/>
      <c r="B786" s="7"/>
      <c r="C786" s="7" t="s">
        <v>91</v>
      </c>
      <c r="D786" s="7"/>
      <c r="E786" s="6" t="s">
        <v>90</v>
      </c>
      <c r="F786" s="9">
        <f t="shared" si="109"/>
        <v>50</v>
      </c>
      <c r="G786" s="9"/>
      <c r="H786" s="9">
        <f t="shared" si="109"/>
        <v>50</v>
      </c>
      <c r="I786" s="9">
        <f t="shared" si="109"/>
        <v>50</v>
      </c>
      <c r="J786" s="380"/>
      <c r="K786" s="9">
        <f t="shared" si="109"/>
        <v>50</v>
      </c>
      <c r="L786" s="9">
        <f t="shared" si="109"/>
        <v>50</v>
      </c>
      <c r="M786" s="9"/>
      <c r="N786" s="9">
        <f t="shared" si="109"/>
        <v>50</v>
      </c>
    </row>
    <row r="787" spans="1:14" ht="27" x14ac:dyDescent="0.3">
      <c r="A787" s="7"/>
      <c r="B787" s="7"/>
      <c r="C787" s="7"/>
      <c r="D787" s="7" t="s">
        <v>57</v>
      </c>
      <c r="E787" s="6" t="s">
        <v>56</v>
      </c>
      <c r="F787" s="9">
        <v>50</v>
      </c>
      <c r="G787" s="9"/>
      <c r="H787" s="9">
        <v>50</v>
      </c>
      <c r="I787" s="9">
        <v>50</v>
      </c>
      <c r="J787" s="380"/>
      <c r="K787" s="9">
        <v>50</v>
      </c>
      <c r="L787" s="9">
        <v>50</v>
      </c>
      <c r="M787" s="9"/>
      <c r="N787" s="9">
        <v>50</v>
      </c>
    </row>
    <row r="788" spans="1:14" x14ac:dyDescent="0.3">
      <c r="A788" s="37"/>
      <c r="B788" s="23">
        <v>1000</v>
      </c>
      <c r="C788" s="22"/>
      <c r="D788" s="21"/>
      <c r="E788" s="20" t="s">
        <v>89</v>
      </c>
      <c r="F788" s="27">
        <f t="shared" ref="F788:N793" si="110">F789</f>
        <v>381.5</v>
      </c>
      <c r="G788" s="27"/>
      <c r="H788" s="27">
        <f t="shared" si="110"/>
        <v>381.5</v>
      </c>
      <c r="I788" s="27">
        <f t="shared" si="110"/>
        <v>381.5</v>
      </c>
      <c r="J788" s="381"/>
      <c r="K788" s="27">
        <f t="shared" si="110"/>
        <v>381.5</v>
      </c>
      <c r="L788" s="27">
        <f t="shared" si="110"/>
        <v>381.5</v>
      </c>
      <c r="M788" s="27"/>
      <c r="N788" s="27">
        <f t="shared" si="110"/>
        <v>381.5</v>
      </c>
    </row>
    <row r="789" spans="1:14" x14ac:dyDescent="0.3">
      <c r="A789" s="21"/>
      <c r="B789" s="23">
        <v>1003</v>
      </c>
      <c r="C789" s="22"/>
      <c r="D789" s="21"/>
      <c r="E789" s="20" t="s">
        <v>88</v>
      </c>
      <c r="F789" s="27">
        <f t="shared" si="110"/>
        <v>381.5</v>
      </c>
      <c r="G789" s="27"/>
      <c r="H789" s="27">
        <f t="shared" si="110"/>
        <v>381.5</v>
      </c>
      <c r="I789" s="27">
        <f t="shared" si="110"/>
        <v>381.5</v>
      </c>
      <c r="J789" s="381"/>
      <c r="K789" s="27">
        <f t="shared" si="110"/>
        <v>381.5</v>
      </c>
      <c r="L789" s="27">
        <f t="shared" si="110"/>
        <v>381.5</v>
      </c>
      <c r="M789" s="27"/>
      <c r="N789" s="27">
        <f t="shared" si="110"/>
        <v>381.5</v>
      </c>
    </row>
    <row r="790" spans="1:14" x14ac:dyDescent="0.3">
      <c r="A790" s="53"/>
      <c r="B790" s="23"/>
      <c r="C790" s="22" t="s">
        <v>36</v>
      </c>
      <c r="D790" s="21"/>
      <c r="E790" s="28" t="s">
        <v>35</v>
      </c>
      <c r="F790" s="27">
        <f t="shared" si="110"/>
        <v>381.5</v>
      </c>
      <c r="G790" s="27"/>
      <c r="H790" s="27">
        <f t="shared" si="110"/>
        <v>381.5</v>
      </c>
      <c r="I790" s="27">
        <f t="shared" si="110"/>
        <v>381.5</v>
      </c>
      <c r="J790" s="381"/>
      <c r="K790" s="27">
        <f t="shared" si="110"/>
        <v>381.5</v>
      </c>
      <c r="L790" s="27">
        <f t="shared" si="110"/>
        <v>381.5</v>
      </c>
      <c r="M790" s="27"/>
      <c r="N790" s="27">
        <f t="shared" si="110"/>
        <v>381.5</v>
      </c>
    </row>
    <row r="791" spans="1:14" ht="26.4" x14ac:dyDescent="0.3">
      <c r="A791" s="54"/>
      <c r="B791" s="34"/>
      <c r="C791" s="35" t="s">
        <v>87</v>
      </c>
      <c r="D791" s="34"/>
      <c r="E791" s="33" t="s">
        <v>86</v>
      </c>
      <c r="F791" s="32">
        <f t="shared" si="110"/>
        <v>381.5</v>
      </c>
      <c r="G791" s="32"/>
      <c r="H791" s="32">
        <f t="shared" si="110"/>
        <v>381.5</v>
      </c>
      <c r="I791" s="32">
        <f t="shared" si="110"/>
        <v>381.5</v>
      </c>
      <c r="J791" s="377"/>
      <c r="K791" s="32">
        <f t="shared" si="110"/>
        <v>381.5</v>
      </c>
      <c r="L791" s="32">
        <f t="shared" si="110"/>
        <v>381.5</v>
      </c>
      <c r="M791" s="32"/>
      <c r="N791" s="32">
        <f t="shared" si="110"/>
        <v>381.5</v>
      </c>
    </row>
    <row r="792" spans="1:14" x14ac:dyDescent="0.3">
      <c r="A792" s="31"/>
      <c r="B792" s="31"/>
      <c r="C792" s="31" t="s">
        <v>85</v>
      </c>
      <c r="D792" s="31"/>
      <c r="E792" s="52" t="s">
        <v>84</v>
      </c>
      <c r="F792" s="29">
        <f t="shared" si="110"/>
        <v>381.5</v>
      </c>
      <c r="G792" s="29"/>
      <c r="H792" s="29">
        <f t="shared" si="110"/>
        <v>381.5</v>
      </c>
      <c r="I792" s="29">
        <f t="shared" si="110"/>
        <v>381.5</v>
      </c>
      <c r="J792" s="378"/>
      <c r="K792" s="29">
        <f t="shared" si="110"/>
        <v>381.5</v>
      </c>
      <c r="L792" s="29">
        <f t="shared" si="110"/>
        <v>381.5</v>
      </c>
      <c r="M792" s="29"/>
      <c r="N792" s="29">
        <f t="shared" si="110"/>
        <v>381.5</v>
      </c>
    </row>
    <row r="793" spans="1:14" ht="27" x14ac:dyDescent="0.3">
      <c r="A793" s="223"/>
      <c r="B793" s="223"/>
      <c r="C793" s="223" t="s">
        <v>83</v>
      </c>
      <c r="D793" s="231"/>
      <c r="E793" s="224" t="s">
        <v>82</v>
      </c>
      <c r="F793" s="225">
        <f t="shared" si="110"/>
        <v>381.5</v>
      </c>
      <c r="G793" s="225"/>
      <c r="H793" s="225">
        <f t="shared" si="110"/>
        <v>381.5</v>
      </c>
      <c r="I793" s="225">
        <f t="shared" si="110"/>
        <v>381.5</v>
      </c>
      <c r="J793" s="379"/>
      <c r="K793" s="225">
        <f t="shared" si="110"/>
        <v>381.5</v>
      </c>
      <c r="L793" s="225">
        <f t="shared" si="110"/>
        <v>381.5</v>
      </c>
      <c r="M793" s="225"/>
      <c r="N793" s="225">
        <f t="shared" si="110"/>
        <v>381.5</v>
      </c>
    </row>
    <row r="794" spans="1:14" ht="40.5" customHeight="1" x14ac:dyDescent="0.3">
      <c r="A794" s="53"/>
      <c r="B794" s="55"/>
      <c r="C794" s="57" t="s">
        <v>81</v>
      </c>
      <c r="D794" s="55"/>
      <c r="E794" s="10" t="s">
        <v>80</v>
      </c>
      <c r="F794" s="9">
        <f>SUM(F795:F796)</f>
        <v>381.5</v>
      </c>
      <c r="G794" s="9"/>
      <c r="H794" s="9">
        <f>SUM(H795:H796)</f>
        <v>381.5</v>
      </c>
      <c r="I794" s="9">
        <f>I795+I796</f>
        <v>381.5</v>
      </c>
      <c r="J794" s="380"/>
      <c r="K794" s="9">
        <f>K795+K796</f>
        <v>381.5</v>
      </c>
      <c r="L794" s="9">
        <f>L795+L796</f>
        <v>381.5</v>
      </c>
      <c r="M794" s="9"/>
      <c r="N794" s="9">
        <f>N795+N796</f>
        <v>381.5</v>
      </c>
    </row>
    <row r="795" spans="1:14" x14ac:dyDescent="0.3">
      <c r="A795" s="53"/>
      <c r="B795" s="55"/>
      <c r="C795" s="57"/>
      <c r="D795" s="55" t="s">
        <v>79</v>
      </c>
      <c r="E795" s="6" t="s">
        <v>78</v>
      </c>
      <c r="F795" s="9">
        <v>14.1</v>
      </c>
      <c r="G795" s="9"/>
      <c r="H795" s="9">
        <v>14.1</v>
      </c>
      <c r="I795" s="9">
        <v>14.1</v>
      </c>
      <c r="J795" s="380"/>
      <c r="K795" s="9">
        <v>14.1</v>
      </c>
      <c r="L795" s="9">
        <v>14.1</v>
      </c>
      <c r="M795" s="9"/>
      <c r="N795" s="9">
        <v>14.1</v>
      </c>
    </row>
    <row r="796" spans="1:14" ht="26.4" x14ac:dyDescent="0.3">
      <c r="A796" s="53"/>
      <c r="B796" s="55"/>
      <c r="C796" s="57"/>
      <c r="D796" s="55" t="s">
        <v>57</v>
      </c>
      <c r="E796" s="56" t="s">
        <v>56</v>
      </c>
      <c r="F796" s="9">
        <v>367.4</v>
      </c>
      <c r="G796" s="9"/>
      <c r="H796" s="9">
        <v>367.4</v>
      </c>
      <c r="I796" s="9">
        <v>367.4</v>
      </c>
      <c r="J796" s="380"/>
      <c r="K796" s="9">
        <v>367.4</v>
      </c>
      <c r="L796" s="9">
        <v>367.4</v>
      </c>
      <c r="M796" s="9"/>
      <c r="N796" s="9">
        <v>367.4</v>
      </c>
    </row>
    <row r="797" spans="1:14" x14ac:dyDescent="0.3">
      <c r="A797" s="53"/>
      <c r="B797" s="23">
        <v>1100</v>
      </c>
      <c r="C797" s="22"/>
      <c r="D797" s="21"/>
      <c r="E797" s="20" t="s">
        <v>76</v>
      </c>
      <c r="F797" s="27">
        <f t="shared" ref="F797:N802" si="111">F798</f>
        <v>76</v>
      </c>
      <c r="G797" s="27"/>
      <c r="H797" s="27">
        <f t="shared" si="111"/>
        <v>76</v>
      </c>
      <c r="I797" s="27">
        <f t="shared" si="111"/>
        <v>0</v>
      </c>
      <c r="J797" s="381"/>
      <c r="K797" s="27">
        <f t="shared" si="111"/>
        <v>0</v>
      </c>
      <c r="L797" s="27">
        <f t="shared" si="111"/>
        <v>76</v>
      </c>
      <c r="M797" s="27"/>
      <c r="N797" s="27">
        <f t="shared" si="111"/>
        <v>76</v>
      </c>
    </row>
    <row r="798" spans="1:14" x14ac:dyDescent="0.3">
      <c r="A798" s="53"/>
      <c r="B798" s="23" t="s">
        <v>75</v>
      </c>
      <c r="C798" s="22"/>
      <c r="D798" s="23"/>
      <c r="E798" s="28" t="s">
        <v>74</v>
      </c>
      <c r="F798" s="27">
        <f t="shared" si="111"/>
        <v>76</v>
      </c>
      <c r="G798" s="27"/>
      <c r="H798" s="27">
        <f t="shared" si="111"/>
        <v>76</v>
      </c>
      <c r="I798" s="27">
        <f t="shared" si="111"/>
        <v>0</v>
      </c>
      <c r="J798" s="381"/>
      <c r="K798" s="27">
        <f t="shared" si="111"/>
        <v>0</v>
      </c>
      <c r="L798" s="27">
        <f t="shared" si="111"/>
        <v>76</v>
      </c>
      <c r="M798" s="27"/>
      <c r="N798" s="27">
        <f t="shared" si="111"/>
        <v>76</v>
      </c>
    </row>
    <row r="799" spans="1:14" x14ac:dyDescent="0.3">
      <c r="A799" s="53"/>
      <c r="B799" s="23"/>
      <c r="C799" s="22" t="s">
        <v>36</v>
      </c>
      <c r="D799" s="23"/>
      <c r="E799" s="28" t="s">
        <v>35</v>
      </c>
      <c r="F799" s="27">
        <f t="shared" si="111"/>
        <v>76</v>
      </c>
      <c r="G799" s="27"/>
      <c r="H799" s="27">
        <f t="shared" si="111"/>
        <v>76</v>
      </c>
      <c r="I799" s="27">
        <f t="shared" si="111"/>
        <v>0</v>
      </c>
      <c r="J799" s="381"/>
      <c r="K799" s="27">
        <f t="shared" si="111"/>
        <v>0</v>
      </c>
      <c r="L799" s="27">
        <f t="shared" si="111"/>
        <v>76</v>
      </c>
      <c r="M799" s="27"/>
      <c r="N799" s="27">
        <f t="shared" si="111"/>
        <v>76</v>
      </c>
    </row>
    <row r="800" spans="1:14" ht="26.4" x14ac:dyDescent="0.3">
      <c r="A800" s="54"/>
      <c r="B800" s="34"/>
      <c r="C800" s="35" t="s">
        <v>73</v>
      </c>
      <c r="D800" s="34"/>
      <c r="E800" s="33" t="s">
        <v>72</v>
      </c>
      <c r="F800" s="32">
        <f t="shared" si="111"/>
        <v>76</v>
      </c>
      <c r="G800" s="32"/>
      <c r="H800" s="32">
        <f t="shared" si="111"/>
        <v>76</v>
      </c>
      <c r="I800" s="32">
        <f t="shared" si="111"/>
        <v>0</v>
      </c>
      <c r="J800" s="377"/>
      <c r="K800" s="32">
        <f t="shared" si="111"/>
        <v>0</v>
      </c>
      <c r="L800" s="32">
        <f t="shared" si="111"/>
        <v>76</v>
      </c>
      <c r="M800" s="32"/>
      <c r="N800" s="32">
        <f t="shared" si="111"/>
        <v>76</v>
      </c>
    </row>
    <row r="801" spans="1:14" ht="40.200000000000003" x14ac:dyDescent="0.3">
      <c r="A801" s="223"/>
      <c r="B801" s="223"/>
      <c r="C801" s="223" t="s">
        <v>71</v>
      </c>
      <c r="D801" s="223"/>
      <c r="E801" s="224" t="s">
        <v>70</v>
      </c>
      <c r="F801" s="225">
        <f t="shared" si="111"/>
        <v>76</v>
      </c>
      <c r="G801" s="225"/>
      <c r="H801" s="225">
        <f t="shared" si="111"/>
        <v>76</v>
      </c>
      <c r="I801" s="225">
        <f t="shared" si="111"/>
        <v>0</v>
      </c>
      <c r="J801" s="379"/>
      <c r="K801" s="225">
        <f t="shared" si="111"/>
        <v>0</v>
      </c>
      <c r="L801" s="225">
        <f t="shared" si="111"/>
        <v>76</v>
      </c>
      <c r="M801" s="225"/>
      <c r="N801" s="225">
        <f t="shared" si="111"/>
        <v>76</v>
      </c>
    </row>
    <row r="802" spans="1:14" ht="40.200000000000003" x14ac:dyDescent="0.3">
      <c r="A802" s="8"/>
      <c r="B802" s="8"/>
      <c r="C802" s="7" t="s">
        <v>69</v>
      </c>
      <c r="D802" s="7"/>
      <c r="E802" s="6" t="s">
        <v>68</v>
      </c>
      <c r="F802" s="9">
        <f t="shared" si="111"/>
        <v>76</v>
      </c>
      <c r="G802" s="9"/>
      <c r="H802" s="9">
        <f t="shared" si="111"/>
        <v>76</v>
      </c>
      <c r="I802" s="9">
        <f t="shared" si="111"/>
        <v>0</v>
      </c>
      <c r="J802" s="380"/>
      <c r="K802" s="9">
        <f t="shared" si="111"/>
        <v>0</v>
      </c>
      <c r="L802" s="9">
        <f t="shared" si="111"/>
        <v>76</v>
      </c>
      <c r="M802" s="9"/>
      <c r="N802" s="9">
        <f t="shared" si="111"/>
        <v>76</v>
      </c>
    </row>
    <row r="803" spans="1:14" ht="27" x14ac:dyDescent="0.3">
      <c r="A803" s="8"/>
      <c r="B803" s="8"/>
      <c r="C803" s="7"/>
      <c r="D803" s="7" t="s">
        <v>57</v>
      </c>
      <c r="E803" s="6" t="s">
        <v>56</v>
      </c>
      <c r="F803" s="9">
        <v>76</v>
      </c>
      <c r="G803" s="9"/>
      <c r="H803" s="9">
        <v>76</v>
      </c>
      <c r="I803" s="9">
        <v>0</v>
      </c>
      <c r="J803" s="380"/>
      <c r="K803" s="9">
        <v>0</v>
      </c>
      <c r="L803" s="9">
        <v>76</v>
      </c>
      <c r="M803" s="9"/>
      <c r="N803" s="9">
        <v>76</v>
      </c>
    </row>
    <row r="804" spans="1:14" x14ac:dyDescent="0.3">
      <c r="A804" s="53"/>
      <c r="B804" s="23">
        <v>1200</v>
      </c>
      <c r="C804" s="22"/>
      <c r="D804" s="21"/>
      <c r="E804" s="20" t="s">
        <v>67</v>
      </c>
      <c r="F804" s="27">
        <f t="shared" ref="F804:N810" si="112">F805</f>
        <v>1042.5999999999999</v>
      </c>
      <c r="G804" s="27"/>
      <c r="H804" s="27">
        <f t="shared" si="112"/>
        <v>1042.5999999999999</v>
      </c>
      <c r="I804" s="27">
        <f t="shared" si="112"/>
        <v>1042.5999999999999</v>
      </c>
      <c r="J804" s="381"/>
      <c r="K804" s="27">
        <f t="shared" si="112"/>
        <v>1042.5999999999999</v>
      </c>
      <c r="L804" s="27">
        <f t="shared" si="112"/>
        <v>1042.5999999999999</v>
      </c>
      <c r="M804" s="27"/>
      <c r="N804" s="27">
        <f t="shared" si="112"/>
        <v>1042.5999999999999</v>
      </c>
    </row>
    <row r="805" spans="1:14" x14ac:dyDescent="0.3">
      <c r="A805" s="21"/>
      <c r="B805" s="23">
        <v>1202</v>
      </c>
      <c r="C805" s="22"/>
      <c r="D805" s="21"/>
      <c r="E805" s="20" t="s">
        <v>66</v>
      </c>
      <c r="F805" s="27">
        <f t="shared" si="112"/>
        <v>1042.5999999999999</v>
      </c>
      <c r="G805" s="27"/>
      <c r="H805" s="27">
        <f t="shared" si="112"/>
        <v>1042.5999999999999</v>
      </c>
      <c r="I805" s="27">
        <f t="shared" si="112"/>
        <v>1042.5999999999999</v>
      </c>
      <c r="J805" s="381"/>
      <c r="K805" s="27">
        <f t="shared" si="112"/>
        <v>1042.5999999999999</v>
      </c>
      <c r="L805" s="27">
        <f t="shared" si="112"/>
        <v>1042.5999999999999</v>
      </c>
      <c r="M805" s="27"/>
      <c r="N805" s="27">
        <f t="shared" si="112"/>
        <v>1042.5999999999999</v>
      </c>
    </row>
    <row r="806" spans="1:14" x14ac:dyDescent="0.3">
      <c r="A806" s="21"/>
      <c r="B806" s="23"/>
      <c r="C806" s="22" t="s">
        <v>36</v>
      </c>
      <c r="D806" s="21"/>
      <c r="E806" s="28" t="s">
        <v>35</v>
      </c>
      <c r="F806" s="27">
        <f t="shared" si="112"/>
        <v>1042.5999999999999</v>
      </c>
      <c r="G806" s="27"/>
      <c r="H806" s="27">
        <f t="shared" si="112"/>
        <v>1042.5999999999999</v>
      </c>
      <c r="I806" s="27">
        <f t="shared" si="112"/>
        <v>1042.5999999999999</v>
      </c>
      <c r="J806" s="381"/>
      <c r="K806" s="27">
        <f t="shared" si="112"/>
        <v>1042.5999999999999</v>
      </c>
      <c r="L806" s="27">
        <f t="shared" si="112"/>
        <v>1042.5999999999999</v>
      </c>
      <c r="M806" s="27"/>
      <c r="N806" s="27">
        <f t="shared" si="112"/>
        <v>1042.5999999999999</v>
      </c>
    </row>
    <row r="807" spans="1:14" ht="26.4" x14ac:dyDescent="0.3">
      <c r="A807" s="36"/>
      <c r="B807" s="34"/>
      <c r="C807" s="35" t="s">
        <v>65</v>
      </c>
      <c r="D807" s="34"/>
      <c r="E807" s="33" t="s">
        <v>64</v>
      </c>
      <c r="F807" s="32">
        <f t="shared" si="112"/>
        <v>1042.5999999999999</v>
      </c>
      <c r="G807" s="32"/>
      <c r="H807" s="32">
        <f t="shared" si="112"/>
        <v>1042.5999999999999</v>
      </c>
      <c r="I807" s="32">
        <f t="shared" si="112"/>
        <v>1042.5999999999999</v>
      </c>
      <c r="J807" s="377"/>
      <c r="K807" s="32">
        <f t="shared" si="112"/>
        <v>1042.5999999999999</v>
      </c>
      <c r="L807" s="32">
        <f t="shared" si="112"/>
        <v>1042.5999999999999</v>
      </c>
      <c r="M807" s="32"/>
      <c r="N807" s="32">
        <f t="shared" si="112"/>
        <v>1042.5999999999999</v>
      </c>
    </row>
    <row r="808" spans="1:14" x14ac:dyDescent="0.3">
      <c r="A808" s="31"/>
      <c r="B808" s="31"/>
      <c r="C808" s="31" t="s">
        <v>63</v>
      </c>
      <c r="D808" s="31"/>
      <c r="E808" s="52" t="s">
        <v>62</v>
      </c>
      <c r="F808" s="29">
        <f t="shared" si="112"/>
        <v>1042.5999999999999</v>
      </c>
      <c r="G808" s="29"/>
      <c r="H808" s="29">
        <f t="shared" si="112"/>
        <v>1042.5999999999999</v>
      </c>
      <c r="I808" s="29">
        <f t="shared" si="112"/>
        <v>1042.5999999999999</v>
      </c>
      <c r="J808" s="378"/>
      <c r="K808" s="29">
        <f t="shared" si="112"/>
        <v>1042.5999999999999</v>
      </c>
      <c r="L808" s="29">
        <f t="shared" si="112"/>
        <v>1042.5999999999999</v>
      </c>
      <c r="M808" s="29"/>
      <c r="N808" s="29">
        <f t="shared" si="112"/>
        <v>1042.5999999999999</v>
      </c>
    </row>
    <row r="809" spans="1:14" ht="40.200000000000003" x14ac:dyDescent="0.3">
      <c r="A809" s="223"/>
      <c r="B809" s="223"/>
      <c r="C809" s="223" t="s">
        <v>61</v>
      </c>
      <c r="D809" s="223"/>
      <c r="E809" s="224" t="s">
        <v>60</v>
      </c>
      <c r="F809" s="225">
        <f t="shared" si="112"/>
        <v>1042.5999999999999</v>
      </c>
      <c r="G809" s="225"/>
      <c r="H809" s="225">
        <f t="shared" si="112"/>
        <v>1042.5999999999999</v>
      </c>
      <c r="I809" s="225">
        <f t="shared" si="112"/>
        <v>1042.5999999999999</v>
      </c>
      <c r="J809" s="379"/>
      <c r="K809" s="225">
        <f t="shared" si="112"/>
        <v>1042.5999999999999</v>
      </c>
      <c r="L809" s="225">
        <f t="shared" si="112"/>
        <v>1042.5999999999999</v>
      </c>
      <c r="M809" s="225"/>
      <c r="N809" s="225">
        <f t="shared" si="112"/>
        <v>1042.5999999999999</v>
      </c>
    </row>
    <row r="810" spans="1:14" x14ac:dyDescent="0.3">
      <c r="A810" s="8"/>
      <c r="B810" s="8"/>
      <c r="C810" s="7" t="s">
        <v>59</v>
      </c>
      <c r="D810" s="7"/>
      <c r="E810" s="6" t="s">
        <v>58</v>
      </c>
      <c r="F810" s="9">
        <f t="shared" si="112"/>
        <v>1042.5999999999999</v>
      </c>
      <c r="G810" s="9"/>
      <c r="H810" s="9">
        <f t="shared" si="112"/>
        <v>1042.5999999999999</v>
      </c>
      <c r="I810" s="9">
        <f t="shared" si="112"/>
        <v>1042.5999999999999</v>
      </c>
      <c r="J810" s="380"/>
      <c r="K810" s="9">
        <f t="shared" si="112"/>
        <v>1042.5999999999999</v>
      </c>
      <c r="L810" s="9">
        <f t="shared" si="112"/>
        <v>1042.5999999999999</v>
      </c>
      <c r="M810" s="9"/>
      <c r="N810" s="9">
        <f t="shared" si="112"/>
        <v>1042.5999999999999</v>
      </c>
    </row>
    <row r="811" spans="1:14" ht="27" x14ac:dyDescent="0.3">
      <c r="A811" s="8"/>
      <c r="B811" s="8"/>
      <c r="C811" s="7"/>
      <c r="D811" s="7" t="s">
        <v>57</v>
      </c>
      <c r="E811" s="6" t="s">
        <v>56</v>
      </c>
      <c r="F811" s="9">
        <v>1042.5999999999999</v>
      </c>
      <c r="G811" s="9"/>
      <c r="H811" s="9">
        <v>1042.5999999999999</v>
      </c>
      <c r="I811" s="9">
        <v>1042.5999999999999</v>
      </c>
      <c r="J811" s="380"/>
      <c r="K811" s="9">
        <v>1042.5999999999999</v>
      </c>
      <c r="L811" s="9">
        <v>1042.5999999999999</v>
      </c>
      <c r="M811" s="9"/>
      <c r="N811" s="9">
        <v>1042.5999999999999</v>
      </c>
    </row>
    <row r="812" spans="1:14" x14ac:dyDescent="0.3">
      <c r="A812" s="40">
        <v>636</v>
      </c>
      <c r="B812" s="42"/>
      <c r="C812" s="41"/>
      <c r="D812" s="40"/>
      <c r="E812" s="39" t="s">
        <v>55</v>
      </c>
      <c r="F812" s="38">
        <f t="shared" ref="F812:N814" si="113">F813</f>
        <v>3493.2000000000003</v>
      </c>
      <c r="G812" s="38">
        <f t="shared" si="113"/>
        <v>0</v>
      </c>
      <c r="H812" s="38">
        <f t="shared" si="113"/>
        <v>3493.2000000000003</v>
      </c>
      <c r="I812" s="38">
        <f t="shared" si="113"/>
        <v>3429.9</v>
      </c>
      <c r="J812" s="375"/>
      <c r="K812" s="38">
        <f t="shared" si="113"/>
        <v>3429.9</v>
      </c>
      <c r="L812" s="38">
        <f t="shared" si="113"/>
        <v>3484.3</v>
      </c>
      <c r="M812" s="38"/>
      <c r="N812" s="38">
        <f t="shared" si="113"/>
        <v>3484.3</v>
      </c>
    </row>
    <row r="813" spans="1:14" x14ac:dyDescent="0.3">
      <c r="A813" s="37"/>
      <c r="B813" s="23" t="s">
        <v>40</v>
      </c>
      <c r="C813" s="22"/>
      <c r="D813" s="21"/>
      <c r="E813" s="20" t="s">
        <v>39</v>
      </c>
      <c r="F813" s="27">
        <f t="shared" si="113"/>
        <v>3493.2000000000003</v>
      </c>
      <c r="G813" s="27"/>
      <c r="H813" s="27">
        <f t="shared" si="113"/>
        <v>3493.2000000000003</v>
      </c>
      <c r="I813" s="27">
        <f t="shared" si="113"/>
        <v>3429.9</v>
      </c>
      <c r="J813" s="381"/>
      <c r="K813" s="27">
        <f t="shared" si="113"/>
        <v>3429.9</v>
      </c>
      <c r="L813" s="27">
        <f t="shared" si="113"/>
        <v>3484.3</v>
      </c>
      <c r="M813" s="27"/>
      <c r="N813" s="27">
        <f t="shared" si="113"/>
        <v>3484.3</v>
      </c>
    </row>
    <row r="814" spans="1:14" ht="26.4" x14ac:dyDescent="0.3">
      <c r="A814" s="37"/>
      <c r="B814" s="23" t="s">
        <v>54</v>
      </c>
      <c r="C814" s="22"/>
      <c r="D814" s="23"/>
      <c r="E814" s="28" t="s">
        <v>53</v>
      </c>
      <c r="F814" s="27">
        <f t="shared" si="113"/>
        <v>3493.2000000000003</v>
      </c>
      <c r="G814" s="27"/>
      <c r="H814" s="27">
        <f t="shared" si="113"/>
        <v>3493.2000000000003</v>
      </c>
      <c r="I814" s="27">
        <f t="shared" si="113"/>
        <v>3429.9</v>
      </c>
      <c r="J814" s="381"/>
      <c r="K814" s="27">
        <f t="shared" si="113"/>
        <v>3429.9</v>
      </c>
      <c r="L814" s="27">
        <f t="shared" si="113"/>
        <v>3484.3</v>
      </c>
      <c r="M814" s="27"/>
      <c r="N814" s="27">
        <f t="shared" si="113"/>
        <v>3484.3</v>
      </c>
    </row>
    <row r="815" spans="1:14" x14ac:dyDescent="0.3">
      <c r="A815" s="51"/>
      <c r="B815" s="50"/>
      <c r="C815" s="49" t="s">
        <v>52</v>
      </c>
      <c r="D815" s="48"/>
      <c r="E815" s="47" t="s">
        <v>51</v>
      </c>
      <c r="F815" s="16">
        <f>F816+F824</f>
        <v>3493.2000000000003</v>
      </c>
      <c r="G815" s="16"/>
      <c r="H815" s="16">
        <f>H816+H824</f>
        <v>3493.2000000000003</v>
      </c>
      <c r="I815" s="16">
        <f>I816+I824</f>
        <v>3429.9</v>
      </c>
      <c r="J815" s="390"/>
      <c r="K815" s="16">
        <f>K816+K824</f>
        <v>3429.9</v>
      </c>
      <c r="L815" s="16">
        <f>L816+L824</f>
        <v>3484.3</v>
      </c>
      <c r="M815" s="16"/>
      <c r="N815" s="16">
        <f>N816+N824</f>
        <v>3484.3</v>
      </c>
    </row>
    <row r="816" spans="1:14" s="24" customFormat="1" ht="27" x14ac:dyDescent="0.3">
      <c r="A816" s="25"/>
      <c r="B816" s="25"/>
      <c r="C816" s="45" t="s">
        <v>50</v>
      </c>
      <c r="D816" s="46"/>
      <c r="E816" s="14" t="s">
        <v>49</v>
      </c>
      <c r="F816" s="13">
        <f>F817+F819+F822</f>
        <v>3343.2000000000003</v>
      </c>
      <c r="G816" s="13"/>
      <c r="H816" s="13">
        <f>H817+H819+H822</f>
        <v>3343.2000000000003</v>
      </c>
      <c r="I816" s="13">
        <f>I817+I819</f>
        <v>3279.9</v>
      </c>
      <c r="J816" s="391"/>
      <c r="K816" s="13">
        <f>K817+K819</f>
        <v>3279.9</v>
      </c>
      <c r="L816" s="13">
        <f>L817+L819</f>
        <v>3334.3</v>
      </c>
      <c r="M816" s="13"/>
      <c r="N816" s="13">
        <f>N817+N819</f>
        <v>3334.3</v>
      </c>
    </row>
    <row r="817" spans="1:14" ht="27" x14ac:dyDescent="0.3">
      <c r="A817" s="8"/>
      <c r="B817" s="8"/>
      <c r="C817" s="7" t="s">
        <v>48</v>
      </c>
      <c r="D817" s="7"/>
      <c r="E817" s="6" t="s">
        <v>47</v>
      </c>
      <c r="F817" s="9">
        <v>1164</v>
      </c>
      <c r="G817" s="9"/>
      <c r="H817" s="9">
        <v>1164</v>
      </c>
      <c r="I817" s="9">
        <v>1164</v>
      </c>
      <c r="J817" s="380"/>
      <c r="K817" s="9">
        <v>1164</v>
      </c>
      <c r="L817" s="9">
        <f>L818</f>
        <v>1164</v>
      </c>
      <c r="M817" s="9"/>
      <c r="N817" s="9">
        <f>N818</f>
        <v>1164</v>
      </c>
    </row>
    <row r="818" spans="1:14" ht="40.200000000000003" x14ac:dyDescent="0.3">
      <c r="A818" s="8"/>
      <c r="B818" s="8"/>
      <c r="C818" s="7"/>
      <c r="D818" s="7" t="s">
        <v>2</v>
      </c>
      <c r="E818" s="6" t="s">
        <v>1</v>
      </c>
      <c r="F818" s="5">
        <v>1164</v>
      </c>
      <c r="G818" s="5"/>
      <c r="H818" s="5">
        <v>1164</v>
      </c>
      <c r="I818" s="5">
        <v>1164</v>
      </c>
      <c r="J818" s="382"/>
      <c r="K818" s="5">
        <v>1164</v>
      </c>
      <c r="L818" s="5">
        <v>1164</v>
      </c>
      <c r="M818" s="5"/>
      <c r="N818" s="5">
        <v>1164</v>
      </c>
    </row>
    <row r="819" spans="1:14" ht="27" x14ac:dyDescent="0.3">
      <c r="A819" s="8"/>
      <c r="B819" s="8"/>
      <c r="C819" s="7" t="s">
        <v>46</v>
      </c>
      <c r="D819" s="7"/>
      <c r="E819" s="12" t="s">
        <v>45</v>
      </c>
      <c r="F819" s="5">
        <f>F820+F821</f>
        <v>2091.9</v>
      </c>
      <c r="G819" s="5"/>
      <c r="H819" s="5">
        <f>H820+H821</f>
        <v>2091.9</v>
      </c>
      <c r="I819" s="5">
        <f>I820+I821</f>
        <v>2115.9</v>
      </c>
      <c r="J819" s="382"/>
      <c r="K819" s="5">
        <f>K820+K821</f>
        <v>2115.9</v>
      </c>
      <c r="L819" s="5">
        <f>L820+L821</f>
        <v>2170.3000000000002</v>
      </c>
      <c r="M819" s="5"/>
      <c r="N819" s="5">
        <f>N820+N821</f>
        <v>2170.3000000000002</v>
      </c>
    </row>
    <row r="820" spans="1:14" ht="40.200000000000003" x14ac:dyDescent="0.3">
      <c r="A820" s="8"/>
      <c r="B820" s="8"/>
      <c r="C820" s="7"/>
      <c r="D820" s="7" t="s">
        <v>2</v>
      </c>
      <c r="E820" s="6" t="s">
        <v>1</v>
      </c>
      <c r="F820" s="5">
        <f>1960.1+77.4</f>
        <v>2037.5</v>
      </c>
      <c r="G820" s="5"/>
      <c r="H820" s="5">
        <f>1960.1+77.4</f>
        <v>2037.5</v>
      </c>
      <c r="I820" s="5">
        <f>2028.2+87.7</f>
        <v>2115.9</v>
      </c>
      <c r="J820" s="382"/>
      <c r="K820" s="5">
        <f>2028.2+87.7</f>
        <v>2115.9</v>
      </c>
      <c r="L820" s="5">
        <f>2028.2+87.7</f>
        <v>2115.9</v>
      </c>
      <c r="M820" s="5"/>
      <c r="N820" s="5">
        <f>2028.2+87.7</f>
        <v>2115.9</v>
      </c>
    </row>
    <row r="821" spans="1:14" x14ac:dyDescent="0.3">
      <c r="A821" s="8"/>
      <c r="B821" s="8"/>
      <c r="C821" s="7"/>
      <c r="D821" s="7" t="s">
        <v>12</v>
      </c>
      <c r="E821" s="6" t="s">
        <v>11</v>
      </c>
      <c r="F821" s="9">
        <v>54.4</v>
      </c>
      <c r="G821" s="9"/>
      <c r="H821" s="9">
        <v>54.4</v>
      </c>
      <c r="I821" s="9">
        <v>0</v>
      </c>
      <c r="J821" s="380"/>
      <c r="K821" s="9">
        <v>0</v>
      </c>
      <c r="L821" s="9">
        <v>54.4</v>
      </c>
      <c r="M821" s="9"/>
      <c r="N821" s="9">
        <v>54.4</v>
      </c>
    </row>
    <row r="822" spans="1:14" ht="40.200000000000003" x14ac:dyDescent="0.3">
      <c r="A822" s="8"/>
      <c r="B822" s="8"/>
      <c r="C822" s="7" t="s">
        <v>751</v>
      </c>
      <c r="D822" s="7"/>
      <c r="E822" s="6" t="s">
        <v>752</v>
      </c>
      <c r="F822" s="9">
        <f>F823</f>
        <v>87.3</v>
      </c>
      <c r="G822" s="9"/>
      <c r="H822" s="9">
        <f>H823</f>
        <v>87.3</v>
      </c>
      <c r="I822" s="9">
        <v>0</v>
      </c>
      <c r="J822" s="380"/>
      <c r="K822" s="9">
        <v>0</v>
      </c>
      <c r="L822" s="9">
        <v>0</v>
      </c>
      <c r="M822" s="9"/>
      <c r="N822" s="9">
        <v>0</v>
      </c>
    </row>
    <row r="823" spans="1:14" x14ac:dyDescent="0.3">
      <c r="A823" s="8"/>
      <c r="B823" s="8"/>
      <c r="C823" s="7"/>
      <c r="D823" s="7" t="s">
        <v>12</v>
      </c>
      <c r="E823" s="6" t="s">
        <v>11</v>
      </c>
      <c r="F823" s="9">
        <v>87.3</v>
      </c>
      <c r="G823" s="9"/>
      <c r="H823" s="9">
        <v>87.3</v>
      </c>
      <c r="I823" s="9">
        <v>0</v>
      </c>
      <c r="J823" s="380"/>
      <c r="K823" s="9">
        <v>0</v>
      </c>
      <c r="L823" s="9">
        <v>0</v>
      </c>
      <c r="M823" s="9"/>
      <c r="N823" s="9">
        <v>0</v>
      </c>
    </row>
    <row r="824" spans="1:14" ht="26.4" x14ac:dyDescent="0.3">
      <c r="A824" s="25"/>
      <c r="B824" s="25"/>
      <c r="C824" s="45" t="s">
        <v>16</v>
      </c>
      <c r="D824" s="44"/>
      <c r="E824" s="43" t="s">
        <v>44</v>
      </c>
      <c r="F824" s="13">
        <f t="shared" ref="F824:N825" si="114">F825</f>
        <v>150</v>
      </c>
      <c r="G824" s="13"/>
      <c r="H824" s="13">
        <f t="shared" si="114"/>
        <v>150</v>
      </c>
      <c r="I824" s="13">
        <f t="shared" si="114"/>
        <v>150</v>
      </c>
      <c r="J824" s="391"/>
      <c r="K824" s="13">
        <f t="shared" si="114"/>
        <v>150</v>
      </c>
      <c r="L824" s="13">
        <f t="shared" si="114"/>
        <v>150</v>
      </c>
      <c r="M824" s="13"/>
      <c r="N824" s="13">
        <f t="shared" si="114"/>
        <v>150</v>
      </c>
    </row>
    <row r="825" spans="1:14" ht="27" x14ac:dyDescent="0.3">
      <c r="A825" s="8"/>
      <c r="B825" s="8"/>
      <c r="C825" s="7" t="s">
        <v>43</v>
      </c>
      <c r="D825" s="7"/>
      <c r="E825" s="6" t="s">
        <v>42</v>
      </c>
      <c r="F825" s="9">
        <f t="shared" si="114"/>
        <v>150</v>
      </c>
      <c r="G825" s="9"/>
      <c r="H825" s="9">
        <f t="shared" si="114"/>
        <v>150</v>
      </c>
      <c r="I825" s="9">
        <f t="shared" si="114"/>
        <v>150</v>
      </c>
      <c r="J825" s="380"/>
      <c r="K825" s="9">
        <f t="shared" si="114"/>
        <v>150</v>
      </c>
      <c r="L825" s="9">
        <f t="shared" si="114"/>
        <v>150</v>
      </c>
      <c r="M825" s="9"/>
      <c r="N825" s="9">
        <f t="shared" si="114"/>
        <v>150</v>
      </c>
    </row>
    <row r="826" spans="1:14" x14ac:dyDescent="0.3">
      <c r="A826" s="8"/>
      <c r="B826" s="8"/>
      <c r="C826" s="7"/>
      <c r="D826" s="7" t="s">
        <v>12</v>
      </c>
      <c r="E826" s="6" t="s">
        <v>11</v>
      </c>
      <c r="F826" s="9">
        <v>150</v>
      </c>
      <c r="G826" s="9"/>
      <c r="H826" s="9">
        <v>150</v>
      </c>
      <c r="I826" s="9">
        <v>150</v>
      </c>
      <c r="J826" s="380"/>
      <c r="K826" s="9">
        <v>150</v>
      </c>
      <c r="L826" s="9">
        <v>150</v>
      </c>
      <c r="M826" s="9"/>
      <c r="N826" s="9">
        <v>150</v>
      </c>
    </row>
    <row r="827" spans="1:14" ht="26.4" x14ac:dyDescent="0.3">
      <c r="A827" s="40">
        <v>651</v>
      </c>
      <c r="B827" s="42"/>
      <c r="C827" s="41"/>
      <c r="D827" s="40"/>
      <c r="E827" s="39" t="s">
        <v>41</v>
      </c>
      <c r="F827" s="38">
        <f t="shared" ref="F827:M827" si="115">F828</f>
        <v>35381.484200000006</v>
      </c>
      <c r="G827" s="38">
        <f t="shared" si="115"/>
        <v>-33.700000000000003</v>
      </c>
      <c r="H827" s="38">
        <f t="shared" si="115"/>
        <v>35347.784200000009</v>
      </c>
      <c r="I827" s="38">
        <f t="shared" si="115"/>
        <v>35589.563699999999</v>
      </c>
      <c r="J827" s="38">
        <f t="shared" si="115"/>
        <v>-35</v>
      </c>
      <c r="K827" s="38">
        <f t="shared" si="115"/>
        <v>35554.563699999999</v>
      </c>
      <c r="L827" s="38">
        <f t="shared" si="115"/>
        <v>35913.535600000003</v>
      </c>
      <c r="M827" s="38">
        <f t="shared" si="115"/>
        <v>-35</v>
      </c>
      <c r="N827" s="38">
        <f>N828</f>
        <v>35878.535600000003</v>
      </c>
    </row>
    <row r="828" spans="1:14" x14ac:dyDescent="0.3">
      <c r="A828" s="37"/>
      <c r="B828" s="23" t="s">
        <v>40</v>
      </c>
      <c r="C828" s="22"/>
      <c r="D828" s="21"/>
      <c r="E828" s="20" t="s">
        <v>39</v>
      </c>
      <c r="F828" s="27">
        <f t="shared" ref="F828:M828" si="116">F829+F837+F842</f>
        <v>35381.484200000006</v>
      </c>
      <c r="G828" s="27">
        <f t="shared" si="116"/>
        <v>-33.700000000000003</v>
      </c>
      <c r="H828" s="27">
        <f t="shared" si="116"/>
        <v>35347.784200000009</v>
      </c>
      <c r="I828" s="27">
        <f t="shared" si="116"/>
        <v>35589.563699999999</v>
      </c>
      <c r="J828" s="27">
        <f t="shared" si="116"/>
        <v>-35</v>
      </c>
      <c r="K828" s="27">
        <f t="shared" si="116"/>
        <v>35554.563699999999</v>
      </c>
      <c r="L828" s="27">
        <f t="shared" si="116"/>
        <v>35913.535600000003</v>
      </c>
      <c r="M828" s="27">
        <f t="shared" si="116"/>
        <v>-35</v>
      </c>
      <c r="N828" s="27">
        <f>N829+N837+N842</f>
        <v>35878.535600000003</v>
      </c>
    </row>
    <row r="829" spans="1:14" ht="26.4" x14ac:dyDescent="0.3">
      <c r="A829" s="37"/>
      <c r="B829" s="23" t="s">
        <v>38</v>
      </c>
      <c r="C829" s="22"/>
      <c r="D829" s="21"/>
      <c r="E829" s="20" t="s">
        <v>37</v>
      </c>
      <c r="F829" s="27">
        <f t="shared" ref="F829:M829" si="117">F830</f>
        <v>8541.1</v>
      </c>
      <c r="G829" s="27">
        <f t="shared" si="117"/>
        <v>-33.700000000000003</v>
      </c>
      <c r="H829" s="27">
        <f t="shared" si="117"/>
        <v>8507.4000000000015</v>
      </c>
      <c r="I829" s="27">
        <f t="shared" si="117"/>
        <v>8285.7999999999993</v>
      </c>
      <c r="J829" s="27">
        <f t="shared" si="117"/>
        <v>-35</v>
      </c>
      <c r="K829" s="27">
        <f t="shared" si="117"/>
        <v>8250.7999999999993</v>
      </c>
      <c r="L829" s="27">
        <f t="shared" si="117"/>
        <v>8848.2999999999993</v>
      </c>
      <c r="M829" s="27">
        <f t="shared" si="117"/>
        <v>-35</v>
      </c>
      <c r="N829" s="27">
        <f>N830</f>
        <v>8813.2999999999993</v>
      </c>
    </row>
    <row r="830" spans="1:14" x14ac:dyDescent="0.3">
      <c r="A830" s="37"/>
      <c r="B830" s="23"/>
      <c r="C830" s="22" t="s">
        <v>36</v>
      </c>
      <c r="D830" s="21"/>
      <c r="E830" s="20" t="s">
        <v>35</v>
      </c>
      <c r="F830" s="27">
        <f t="shared" ref="F830:M830" si="118">F832</f>
        <v>8541.1</v>
      </c>
      <c r="G830" s="27">
        <f t="shared" si="118"/>
        <v>-33.700000000000003</v>
      </c>
      <c r="H830" s="27">
        <f t="shared" si="118"/>
        <v>8507.4000000000015</v>
      </c>
      <c r="I830" s="27">
        <f t="shared" si="118"/>
        <v>8285.7999999999993</v>
      </c>
      <c r="J830" s="27">
        <f t="shared" si="118"/>
        <v>-35</v>
      </c>
      <c r="K830" s="27">
        <f t="shared" si="118"/>
        <v>8250.7999999999993</v>
      </c>
      <c r="L830" s="27">
        <f t="shared" si="118"/>
        <v>8848.2999999999993</v>
      </c>
      <c r="M830" s="27">
        <f t="shared" si="118"/>
        <v>-35</v>
      </c>
      <c r="N830" s="27">
        <f>N832</f>
        <v>8813.2999999999993</v>
      </c>
    </row>
    <row r="831" spans="1:14" ht="26.4" x14ac:dyDescent="0.3">
      <c r="A831" s="36"/>
      <c r="B831" s="34"/>
      <c r="C831" s="35" t="s">
        <v>34</v>
      </c>
      <c r="D831" s="34"/>
      <c r="E831" s="33" t="s">
        <v>33</v>
      </c>
      <c r="F831" s="32">
        <f t="shared" ref="F831:N833" si="119">F832</f>
        <v>8541.1</v>
      </c>
      <c r="G831" s="32">
        <f t="shared" si="119"/>
        <v>-33.700000000000003</v>
      </c>
      <c r="H831" s="32">
        <f t="shared" si="119"/>
        <v>8507.4000000000015</v>
      </c>
      <c r="I831" s="32">
        <f t="shared" si="119"/>
        <v>8285.7999999999993</v>
      </c>
      <c r="J831" s="32">
        <f t="shared" si="119"/>
        <v>-35</v>
      </c>
      <c r="K831" s="32">
        <f t="shared" si="119"/>
        <v>8250.7999999999993</v>
      </c>
      <c r="L831" s="32">
        <f t="shared" si="119"/>
        <v>8848.2999999999993</v>
      </c>
      <c r="M831" s="32">
        <f t="shared" si="119"/>
        <v>-35</v>
      </c>
      <c r="N831" s="32">
        <f t="shared" si="119"/>
        <v>8813.2999999999993</v>
      </c>
    </row>
    <row r="832" spans="1:14" ht="27" x14ac:dyDescent="0.3">
      <c r="A832" s="31"/>
      <c r="B832" s="31"/>
      <c r="C832" s="31" t="s">
        <v>32</v>
      </c>
      <c r="D832" s="31"/>
      <c r="E832" s="30" t="s">
        <v>31</v>
      </c>
      <c r="F832" s="29">
        <f t="shared" si="119"/>
        <v>8541.1</v>
      </c>
      <c r="G832" s="29">
        <f t="shared" si="119"/>
        <v>-33.700000000000003</v>
      </c>
      <c r="H832" s="29">
        <f t="shared" si="119"/>
        <v>8507.4000000000015</v>
      </c>
      <c r="I832" s="29">
        <f t="shared" si="119"/>
        <v>8285.7999999999993</v>
      </c>
      <c r="J832" s="29">
        <f t="shared" si="119"/>
        <v>-35</v>
      </c>
      <c r="K832" s="29">
        <f t="shared" si="119"/>
        <v>8250.7999999999993</v>
      </c>
      <c r="L832" s="29">
        <f t="shared" si="119"/>
        <v>8848.2999999999993</v>
      </c>
      <c r="M832" s="29">
        <f t="shared" si="119"/>
        <v>-35</v>
      </c>
      <c r="N832" s="29">
        <f t="shared" si="119"/>
        <v>8813.2999999999993</v>
      </c>
    </row>
    <row r="833" spans="1:14" ht="40.200000000000003" x14ac:dyDescent="0.3">
      <c r="A833" s="223"/>
      <c r="B833" s="223"/>
      <c r="C833" s="223" t="s">
        <v>30</v>
      </c>
      <c r="D833" s="223"/>
      <c r="E833" s="224" t="s">
        <v>29</v>
      </c>
      <c r="F833" s="225">
        <f t="shared" si="119"/>
        <v>8541.1</v>
      </c>
      <c r="G833" s="225">
        <f t="shared" si="119"/>
        <v>-33.700000000000003</v>
      </c>
      <c r="H833" s="225">
        <f t="shared" si="119"/>
        <v>8507.4000000000015</v>
      </c>
      <c r="I833" s="225">
        <f t="shared" si="119"/>
        <v>8285.7999999999993</v>
      </c>
      <c r="J833" s="225">
        <f t="shared" si="119"/>
        <v>-35</v>
      </c>
      <c r="K833" s="225">
        <f t="shared" si="119"/>
        <v>8250.7999999999993</v>
      </c>
      <c r="L833" s="225">
        <f t="shared" si="119"/>
        <v>8848.2999999999993</v>
      </c>
      <c r="M833" s="225">
        <f t="shared" si="119"/>
        <v>-35</v>
      </c>
      <c r="N833" s="225">
        <f t="shared" si="119"/>
        <v>8813.2999999999993</v>
      </c>
    </row>
    <row r="834" spans="1:14" ht="26.4" x14ac:dyDescent="0.3">
      <c r="A834" s="8"/>
      <c r="B834" s="8"/>
      <c r="C834" s="7" t="s">
        <v>28</v>
      </c>
      <c r="D834" s="7"/>
      <c r="E834" s="10" t="s">
        <v>27</v>
      </c>
      <c r="F834" s="9">
        <f t="shared" ref="F834:M834" si="120">F835+F836</f>
        <v>8541.1</v>
      </c>
      <c r="G834" s="9">
        <f t="shared" si="120"/>
        <v>-33.700000000000003</v>
      </c>
      <c r="H834" s="9">
        <f t="shared" si="120"/>
        <v>8507.4000000000015</v>
      </c>
      <c r="I834" s="9">
        <f t="shared" si="120"/>
        <v>8285.7999999999993</v>
      </c>
      <c r="J834" s="9">
        <f t="shared" si="120"/>
        <v>-35</v>
      </c>
      <c r="K834" s="9">
        <f t="shared" si="120"/>
        <v>8250.7999999999993</v>
      </c>
      <c r="L834" s="9">
        <f t="shared" si="120"/>
        <v>8848.2999999999993</v>
      </c>
      <c r="M834" s="9">
        <f t="shared" si="120"/>
        <v>-35</v>
      </c>
      <c r="N834" s="9">
        <f>N835+N836</f>
        <v>8813.2999999999993</v>
      </c>
    </row>
    <row r="835" spans="1:14" ht="40.200000000000003" x14ac:dyDescent="0.3">
      <c r="A835" s="8"/>
      <c r="B835" s="8"/>
      <c r="C835" s="7"/>
      <c r="D835" s="7" t="s">
        <v>2</v>
      </c>
      <c r="E835" s="6" t="s">
        <v>1</v>
      </c>
      <c r="F835" s="9">
        <f>7683.3+295.3</f>
        <v>7978.6</v>
      </c>
      <c r="G835" s="9">
        <v>-33.700000000000003</v>
      </c>
      <c r="H835" s="9">
        <f>7683.3+295.3-33.7</f>
        <v>7944.9000000000005</v>
      </c>
      <c r="I835" s="9">
        <f>7945.7+340.1</f>
        <v>8285.7999999999993</v>
      </c>
      <c r="J835" s="380">
        <v>-35</v>
      </c>
      <c r="K835" s="9">
        <f>7945.7+340.1-35</f>
        <v>8250.7999999999993</v>
      </c>
      <c r="L835" s="9">
        <f>7945.7+340.1</f>
        <v>8285.7999999999993</v>
      </c>
      <c r="M835" s="9">
        <v>-35</v>
      </c>
      <c r="N835" s="9">
        <f>7945.7+340.1-35</f>
        <v>8250.7999999999993</v>
      </c>
    </row>
    <row r="836" spans="1:14" x14ac:dyDescent="0.3">
      <c r="A836" s="8"/>
      <c r="B836" s="8"/>
      <c r="C836" s="7"/>
      <c r="D836" s="7" t="s">
        <v>12</v>
      </c>
      <c r="E836" s="6" t="s">
        <v>11</v>
      </c>
      <c r="F836" s="9">
        <v>562.5</v>
      </c>
      <c r="G836" s="9"/>
      <c r="H836" s="9">
        <v>562.5</v>
      </c>
      <c r="I836" s="9">
        <v>0</v>
      </c>
      <c r="J836" s="380"/>
      <c r="K836" s="9">
        <v>0</v>
      </c>
      <c r="L836" s="9">
        <v>562.5</v>
      </c>
      <c r="M836" s="9"/>
      <c r="N836" s="9">
        <v>562.5</v>
      </c>
    </row>
    <row r="837" spans="1:14" x14ac:dyDescent="0.3">
      <c r="A837" s="8"/>
      <c r="B837" s="23" t="s">
        <v>26</v>
      </c>
      <c r="C837" s="22"/>
      <c r="D837" s="23"/>
      <c r="E837" s="28" t="s">
        <v>25</v>
      </c>
      <c r="F837" s="27">
        <f t="shared" ref="F837:N840" si="121">F838</f>
        <v>711.6</v>
      </c>
      <c r="G837" s="27"/>
      <c r="H837" s="27">
        <f t="shared" si="121"/>
        <v>711.6</v>
      </c>
      <c r="I837" s="27">
        <f t="shared" si="121"/>
        <v>711.6</v>
      </c>
      <c r="J837" s="381"/>
      <c r="K837" s="27">
        <f t="shared" si="121"/>
        <v>711.6</v>
      </c>
      <c r="L837" s="27">
        <f t="shared" si="121"/>
        <v>711.6</v>
      </c>
      <c r="M837" s="27"/>
      <c r="N837" s="27">
        <f t="shared" si="121"/>
        <v>711.6</v>
      </c>
    </row>
    <row r="838" spans="1:14" s="24" customFormat="1" x14ac:dyDescent="0.3">
      <c r="A838" s="26"/>
      <c r="B838" s="26"/>
      <c r="C838" s="18" t="s">
        <v>18</v>
      </c>
      <c r="D838" s="18"/>
      <c r="E838" s="17" t="s">
        <v>17</v>
      </c>
      <c r="F838" s="16">
        <f t="shared" si="121"/>
        <v>711.6</v>
      </c>
      <c r="G838" s="16"/>
      <c r="H838" s="16">
        <f t="shared" si="121"/>
        <v>711.6</v>
      </c>
      <c r="I838" s="16">
        <f t="shared" si="121"/>
        <v>711.6</v>
      </c>
      <c r="J838" s="390"/>
      <c r="K838" s="16">
        <f t="shared" si="121"/>
        <v>711.6</v>
      </c>
      <c r="L838" s="16">
        <f t="shared" si="121"/>
        <v>711.6</v>
      </c>
      <c r="M838" s="16"/>
      <c r="N838" s="16">
        <f t="shared" si="121"/>
        <v>711.6</v>
      </c>
    </row>
    <row r="839" spans="1:14" s="24" customFormat="1" ht="27" x14ac:dyDescent="0.3">
      <c r="A839" s="25"/>
      <c r="B839" s="25"/>
      <c r="C839" s="15" t="s">
        <v>16</v>
      </c>
      <c r="D839" s="15"/>
      <c r="E839" s="14" t="s">
        <v>15</v>
      </c>
      <c r="F839" s="13">
        <f t="shared" si="121"/>
        <v>711.6</v>
      </c>
      <c r="G839" s="13"/>
      <c r="H839" s="13">
        <f t="shared" si="121"/>
        <v>711.6</v>
      </c>
      <c r="I839" s="13">
        <f t="shared" si="121"/>
        <v>711.6</v>
      </c>
      <c r="J839" s="391"/>
      <c r="K839" s="13">
        <f t="shared" si="121"/>
        <v>711.6</v>
      </c>
      <c r="L839" s="13">
        <f t="shared" si="121"/>
        <v>711.6</v>
      </c>
      <c r="M839" s="13"/>
      <c r="N839" s="13">
        <f t="shared" si="121"/>
        <v>711.6</v>
      </c>
    </row>
    <row r="840" spans="1:14" x14ac:dyDescent="0.3">
      <c r="A840" s="8"/>
      <c r="B840" s="8"/>
      <c r="C840" s="7" t="s">
        <v>24</v>
      </c>
      <c r="D840" s="7"/>
      <c r="E840" s="6" t="s">
        <v>23</v>
      </c>
      <c r="F840" s="9">
        <f t="shared" si="121"/>
        <v>711.6</v>
      </c>
      <c r="G840" s="9"/>
      <c r="H840" s="9">
        <f t="shared" si="121"/>
        <v>711.6</v>
      </c>
      <c r="I840" s="9">
        <f t="shared" si="121"/>
        <v>711.6</v>
      </c>
      <c r="J840" s="380"/>
      <c r="K840" s="9">
        <f t="shared" si="121"/>
        <v>711.6</v>
      </c>
      <c r="L840" s="9">
        <f t="shared" si="121"/>
        <v>711.6</v>
      </c>
      <c r="M840" s="9"/>
      <c r="N840" s="9">
        <f t="shared" si="121"/>
        <v>711.6</v>
      </c>
    </row>
    <row r="841" spans="1:14" x14ac:dyDescent="0.3">
      <c r="A841" s="8"/>
      <c r="B841" s="8"/>
      <c r="C841" s="7"/>
      <c r="D841" s="7" t="s">
        <v>22</v>
      </c>
      <c r="E841" s="6" t="s">
        <v>21</v>
      </c>
      <c r="F841" s="9">
        <v>711.6</v>
      </c>
      <c r="G841" s="9"/>
      <c r="H841" s="9">
        <v>711.6</v>
      </c>
      <c r="I841" s="9">
        <v>711.6</v>
      </c>
      <c r="J841" s="380"/>
      <c r="K841" s="9">
        <v>711.6</v>
      </c>
      <c r="L841" s="9">
        <v>711.6</v>
      </c>
      <c r="M841" s="9"/>
      <c r="N841" s="9">
        <v>711.6</v>
      </c>
    </row>
    <row r="842" spans="1:14" x14ac:dyDescent="0.3">
      <c r="A842" s="21"/>
      <c r="B842" s="23" t="s">
        <v>20</v>
      </c>
      <c r="C842" s="22"/>
      <c r="D842" s="21"/>
      <c r="E842" s="20" t="s">
        <v>19</v>
      </c>
      <c r="F842" s="19">
        <f>F843+F873</f>
        <v>26128.784200000006</v>
      </c>
      <c r="G842" s="19"/>
      <c r="H842" s="19">
        <f>H843+H873</f>
        <v>26128.784200000006</v>
      </c>
      <c r="I842" s="19">
        <f>I843+I873</f>
        <v>26592.163700000001</v>
      </c>
      <c r="J842" s="386"/>
      <c r="K842" s="19">
        <f>K843+K873</f>
        <v>26592.163700000001</v>
      </c>
      <c r="L842" s="19">
        <f>L843+L873</f>
        <v>26353.635600000001</v>
      </c>
      <c r="M842" s="19"/>
      <c r="N842" s="19">
        <f>N843+N873</f>
        <v>26353.635600000001</v>
      </c>
    </row>
    <row r="843" spans="1:14" x14ac:dyDescent="0.3">
      <c r="A843" s="18"/>
      <c r="B843" s="18"/>
      <c r="C843" s="18" t="s">
        <v>18</v>
      </c>
      <c r="D843" s="18"/>
      <c r="E843" s="17" t="s">
        <v>17</v>
      </c>
      <c r="F843" s="16">
        <f>F844</f>
        <v>26128.784200000006</v>
      </c>
      <c r="G843" s="16"/>
      <c r="H843" s="16">
        <f>H844</f>
        <v>26128.784200000006</v>
      </c>
      <c r="I843" s="16">
        <f>I844</f>
        <v>26592.163700000001</v>
      </c>
      <c r="J843" s="390"/>
      <c r="K843" s="16">
        <f>K844</f>
        <v>26592.163700000001</v>
      </c>
      <c r="L843" s="16">
        <f>L844</f>
        <v>26353.635600000001</v>
      </c>
      <c r="M843" s="16"/>
      <c r="N843" s="16">
        <f>N844</f>
        <v>26353.635600000001</v>
      </c>
    </row>
    <row r="844" spans="1:14" ht="27" x14ac:dyDescent="0.3">
      <c r="A844" s="15"/>
      <c r="B844" s="15"/>
      <c r="C844" s="15" t="s">
        <v>16</v>
      </c>
      <c r="D844" s="15"/>
      <c r="E844" s="14" t="s">
        <v>15</v>
      </c>
      <c r="F844" s="13">
        <f>F845+F848+F850+F852+F854</f>
        <v>26128.784200000006</v>
      </c>
      <c r="G844" s="13"/>
      <c r="H844" s="13">
        <f>H845+H848+H850+H852+H854</f>
        <v>26128.784200000006</v>
      </c>
      <c r="I844" s="13">
        <f>I845+I848+I850+I852+I854</f>
        <v>26592.163700000001</v>
      </c>
      <c r="J844" s="391"/>
      <c r="K844" s="13">
        <f>K845+K848+K850+K852+K854</f>
        <v>26592.163700000001</v>
      </c>
      <c r="L844" s="13">
        <f>L845+L848+L850+L852+L854</f>
        <v>26353.635600000001</v>
      </c>
      <c r="M844" s="13"/>
      <c r="N844" s="13">
        <f>N845+N848+N850+N852+N854</f>
        <v>26353.635600000001</v>
      </c>
    </row>
    <row r="845" spans="1:14" ht="18.75" customHeight="1" x14ac:dyDescent="0.3">
      <c r="A845" s="8"/>
      <c r="B845" s="8"/>
      <c r="C845" s="7" t="s">
        <v>14</v>
      </c>
      <c r="D845" s="7"/>
      <c r="E845" s="12" t="s">
        <v>13</v>
      </c>
      <c r="F845" s="9">
        <f>F846+F847</f>
        <v>18660</v>
      </c>
      <c r="G845" s="9"/>
      <c r="H845" s="9">
        <f>H846+H847</f>
        <v>18660</v>
      </c>
      <c r="I845" s="9">
        <f>I846+I847</f>
        <v>19328.3</v>
      </c>
      <c r="J845" s="380"/>
      <c r="K845" s="9">
        <f>K846+K847</f>
        <v>19328.3</v>
      </c>
      <c r="L845" s="9">
        <f>L846+L847</f>
        <v>19328.3</v>
      </c>
      <c r="M845" s="9"/>
      <c r="N845" s="9">
        <f>N846+N847</f>
        <v>19328.3</v>
      </c>
    </row>
    <row r="846" spans="1:14" ht="40.200000000000003" x14ac:dyDescent="0.3">
      <c r="A846" s="8"/>
      <c r="B846" s="8"/>
      <c r="C846" s="7"/>
      <c r="D846" s="7" t="s">
        <v>2</v>
      </c>
      <c r="E846" s="6" t="s">
        <v>1</v>
      </c>
      <c r="F846" s="11">
        <f>17135.8+626.7</f>
        <v>17762.5</v>
      </c>
      <c r="G846" s="11"/>
      <c r="H846" s="11">
        <f>17135.8+626.7</f>
        <v>17762.5</v>
      </c>
      <c r="I846" s="11">
        <v>18430.8</v>
      </c>
      <c r="J846" s="402"/>
      <c r="K846" s="11">
        <v>18430.8</v>
      </c>
      <c r="L846" s="11">
        <v>18430.8</v>
      </c>
      <c r="M846" s="11"/>
      <c r="N846" s="11">
        <v>18430.8</v>
      </c>
    </row>
    <row r="847" spans="1:14" x14ac:dyDescent="0.3">
      <c r="A847" s="8"/>
      <c r="B847" s="8"/>
      <c r="C847" s="7"/>
      <c r="D847" s="7" t="s">
        <v>12</v>
      </c>
      <c r="E847" s="6" t="s">
        <v>11</v>
      </c>
      <c r="F847" s="9">
        <v>897.5</v>
      </c>
      <c r="G847" s="9"/>
      <c r="H847" s="9">
        <v>897.5</v>
      </c>
      <c r="I847" s="9">
        <v>897.5</v>
      </c>
      <c r="J847" s="380"/>
      <c r="K847" s="9">
        <v>897.5</v>
      </c>
      <c r="L847" s="9">
        <v>897.5</v>
      </c>
      <c r="M847" s="9"/>
      <c r="N847" s="9">
        <v>897.5</v>
      </c>
    </row>
    <row r="848" spans="1:14" ht="40.200000000000003" x14ac:dyDescent="0.3">
      <c r="A848" s="8"/>
      <c r="B848" s="8"/>
      <c r="C848" s="7" t="s">
        <v>10</v>
      </c>
      <c r="D848" s="7"/>
      <c r="E848" s="6" t="s">
        <v>9</v>
      </c>
      <c r="F848" s="9">
        <f>F849</f>
        <v>137.19999999999999</v>
      </c>
      <c r="G848" s="9"/>
      <c r="H848" s="9">
        <f>H849</f>
        <v>137.19999999999999</v>
      </c>
      <c r="I848" s="9">
        <f>I849</f>
        <v>107.2</v>
      </c>
      <c r="J848" s="380"/>
      <c r="K848" s="9">
        <f>K849</f>
        <v>107.2</v>
      </c>
      <c r="L848" s="9">
        <f>L849</f>
        <v>105.4</v>
      </c>
      <c r="M848" s="9"/>
      <c r="N848" s="9">
        <f>N849</f>
        <v>105.4</v>
      </c>
    </row>
    <row r="849" spans="1:14" ht="40.200000000000003" x14ac:dyDescent="0.3">
      <c r="A849" s="8"/>
      <c r="B849" s="8"/>
      <c r="C849" s="7"/>
      <c r="D849" s="7" t="s">
        <v>2</v>
      </c>
      <c r="E849" s="6" t="s">
        <v>1</v>
      </c>
      <c r="F849" s="9">
        <v>137.19999999999999</v>
      </c>
      <c r="G849" s="9"/>
      <c r="H849" s="9">
        <v>137.19999999999999</v>
      </c>
      <c r="I849" s="9">
        <v>107.2</v>
      </c>
      <c r="J849" s="380"/>
      <c r="K849" s="9">
        <v>107.2</v>
      </c>
      <c r="L849" s="9">
        <v>105.4</v>
      </c>
      <c r="M849" s="9"/>
      <c r="N849" s="9">
        <v>105.4</v>
      </c>
    </row>
    <row r="850" spans="1:14" ht="26.4" x14ac:dyDescent="0.3">
      <c r="A850" s="8"/>
      <c r="B850" s="8"/>
      <c r="C850" s="7" t="s">
        <v>8</v>
      </c>
      <c r="D850" s="7"/>
      <c r="E850" s="10" t="s">
        <v>7</v>
      </c>
      <c r="F850" s="5">
        <f>F851</f>
        <v>87.119200000000006</v>
      </c>
      <c r="G850" s="5"/>
      <c r="H850" s="5">
        <f>H851</f>
        <v>87.119200000000006</v>
      </c>
      <c r="I850" s="5">
        <f>I851</f>
        <v>92.5261</v>
      </c>
      <c r="J850" s="382"/>
      <c r="K850" s="5">
        <f>K851</f>
        <v>92.5261</v>
      </c>
      <c r="L850" s="5">
        <f>L851</f>
        <v>93.701599999999999</v>
      </c>
      <c r="M850" s="5"/>
      <c r="N850" s="5">
        <f>N851</f>
        <v>93.701599999999999</v>
      </c>
    </row>
    <row r="851" spans="1:14" ht="40.200000000000003" x14ac:dyDescent="0.3">
      <c r="A851" s="8"/>
      <c r="B851" s="8"/>
      <c r="C851" s="7"/>
      <c r="D851" s="7" t="s">
        <v>2</v>
      </c>
      <c r="E851" s="6" t="s">
        <v>1</v>
      </c>
      <c r="F851" s="9">
        <v>87.119200000000006</v>
      </c>
      <c r="G851" s="9"/>
      <c r="H851" s="9">
        <v>87.119200000000006</v>
      </c>
      <c r="I851" s="9">
        <v>92.5261</v>
      </c>
      <c r="J851" s="380"/>
      <c r="K851" s="9">
        <v>92.5261</v>
      </c>
      <c r="L851" s="9">
        <v>93.701599999999999</v>
      </c>
      <c r="M851" s="9"/>
      <c r="N851" s="9">
        <v>93.701599999999999</v>
      </c>
    </row>
    <row r="852" spans="1:14" ht="40.200000000000003" x14ac:dyDescent="0.3">
      <c r="A852" s="8"/>
      <c r="B852" s="8"/>
      <c r="C852" s="7" t="s">
        <v>6</v>
      </c>
      <c r="D852" s="7"/>
      <c r="E852" s="6" t="s">
        <v>5</v>
      </c>
      <c r="F852" s="9">
        <f>F853</f>
        <v>7016.6360000000004</v>
      </c>
      <c r="G852" s="9"/>
      <c r="H852" s="9">
        <f>H853</f>
        <v>7016.6360000000004</v>
      </c>
      <c r="I852" s="9">
        <f>I853</f>
        <v>6836.3086000000003</v>
      </c>
      <c r="J852" s="380"/>
      <c r="K852" s="9">
        <f>K853</f>
        <v>6836.3086000000003</v>
      </c>
      <c r="L852" s="9">
        <f>L853</f>
        <v>6598.4049999999997</v>
      </c>
      <c r="M852" s="9"/>
      <c r="N852" s="9">
        <f>N853</f>
        <v>6598.4049999999997</v>
      </c>
    </row>
    <row r="853" spans="1:14" ht="40.200000000000003" x14ac:dyDescent="0.3">
      <c r="A853" s="8"/>
      <c r="B853" s="8"/>
      <c r="C853" s="7"/>
      <c r="D853" s="7" t="s">
        <v>2</v>
      </c>
      <c r="E853" s="6" t="s">
        <v>1</v>
      </c>
      <c r="F853" s="9">
        <v>7016.6360000000004</v>
      </c>
      <c r="G853" s="9"/>
      <c r="H853" s="9">
        <v>7016.6360000000004</v>
      </c>
      <c r="I853" s="5">
        <v>6836.3086000000003</v>
      </c>
      <c r="J853" s="382"/>
      <c r="K853" s="5">
        <v>6836.3086000000003</v>
      </c>
      <c r="L853" s="5">
        <v>6598.4049999999997</v>
      </c>
      <c r="M853" s="5"/>
      <c r="N853" s="5">
        <v>6598.4049999999997</v>
      </c>
    </row>
    <row r="854" spans="1:14" ht="53.4" x14ac:dyDescent="0.3">
      <c r="A854" s="8"/>
      <c r="B854" s="90"/>
      <c r="C854" s="7" t="s">
        <v>4</v>
      </c>
      <c r="D854" s="7"/>
      <c r="E854" s="6" t="s">
        <v>3</v>
      </c>
      <c r="F854" s="9">
        <f>F855</f>
        <v>227.82900000000001</v>
      </c>
      <c r="G854" s="9"/>
      <c r="H854" s="9">
        <f>H855</f>
        <v>227.82900000000001</v>
      </c>
      <c r="I854" s="9">
        <f>I855</f>
        <v>227.82900000000001</v>
      </c>
      <c r="J854" s="380"/>
      <c r="K854" s="9">
        <f>K855</f>
        <v>227.82900000000001</v>
      </c>
      <c r="L854" s="9">
        <f>L855</f>
        <v>227.82900000000001</v>
      </c>
      <c r="M854" s="9"/>
      <c r="N854" s="9">
        <f>N855</f>
        <v>227.82900000000001</v>
      </c>
    </row>
    <row r="855" spans="1:14" ht="40.200000000000003" x14ac:dyDescent="0.3">
      <c r="A855" s="8"/>
      <c r="B855" s="90"/>
      <c r="C855" s="7"/>
      <c r="D855" s="7" t="s">
        <v>2</v>
      </c>
      <c r="E855" s="6" t="s">
        <v>1</v>
      </c>
      <c r="F855" s="9">
        <v>227.82900000000001</v>
      </c>
      <c r="G855" s="9"/>
      <c r="H855" s="9">
        <v>227.82900000000001</v>
      </c>
      <c r="I855" s="9">
        <v>227.82900000000001</v>
      </c>
      <c r="J855" s="380"/>
      <c r="K855" s="9">
        <v>227.82900000000001</v>
      </c>
      <c r="L855" s="9">
        <v>227.82900000000001</v>
      </c>
      <c r="M855" s="9"/>
      <c r="N855" s="9">
        <v>227.82900000000001</v>
      </c>
    </row>
    <row r="856" spans="1:14" x14ac:dyDescent="0.3">
      <c r="A856" s="4"/>
      <c r="B856" s="4"/>
      <c r="C856" s="4"/>
      <c r="D856" s="4"/>
      <c r="E856" s="3" t="s">
        <v>0</v>
      </c>
      <c r="F856" s="2">
        <f t="shared" ref="F856:N856" si="122">SUM(F827+F812+F705+F512+F11)</f>
        <v>1185566.2359500001</v>
      </c>
      <c r="G856" s="2">
        <f t="shared" si="122"/>
        <v>6354.6421100000061</v>
      </c>
      <c r="H856" s="2">
        <f t="shared" si="122"/>
        <v>1191920.87806</v>
      </c>
      <c r="I856" s="2">
        <f t="shared" si="122"/>
        <v>893464.81885000016</v>
      </c>
      <c r="J856" s="2">
        <f t="shared" si="122"/>
        <v>5370.7315699999999</v>
      </c>
      <c r="K856" s="2">
        <f t="shared" si="122"/>
        <v>898835.55041999999</v>
      </c>
      <c r="L856" s="2">
        <f t="shared" si="122"/>
        <v>899311.12258999993</v>
      </c>
      <c r="M856" s="2">
        <f t="shared" si="122"/>
        <v>8886.9</v>
      </c>
      <c r="N856" s="2">
        <f t="shared" si="122"/>
        <v>908198.02258999995</v>
      </c>
    </row>
  </sheetData>
  <autoFilter ref="A9:M856"/>
  <mergeCells count="7">
    <mergeCell ref="H1:N1"/>
    <mergeCell ref="H2:N2"/>
    <mergeCell ref="H3:N3"/>
    <mergeCell ref="H4:N4"/>
    <mergeCell ref="H5:N5"/>
    <mergeCell ref="F9:H9"/>
    <mergeCell ref="A7:L7"/>
  </mergeCells>
  <pageMargins left="1.1023622047244095" right="0.31496062992125984" top="0.55118110236220474" bottom="0.55118110236220474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view="pageBreakPreview" topLeftCell="C1" zoomScale="85" zoomScaleSheetLayoutView="85" workbookViewId="0">
      <selection activeCell="A7" sqref="A7:M7"/>
    </sheetView>
  </sheetViews>
  <sheetFormatPr defaultRowHeight="14.4" x14ac:dyDescent="0.3"/>
  <cols>
    <col min="1" max="1" width="8.6640625" customWidth="1"/>
    <col min="2" max="2" width="68.88671875" customWidth="1"/>
    <col min="3" max="4" width="15.664062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4.5546875" customWidth="1"/>
    <col min="11" max="11" width="17.5546875" customWidth="1"/>
    <col min="12" max="12" width="17.109375" customWidth="1"/>
    <col min="13" max="13" width="15.6640625" customWidth="1"/>
    <col min="14" max="16" width="14" bestFit="1" customWidth="1"/>
    <col min="259" max="259" width="8.6640625" customWidth="1"/>
    <col min="260" max="260" width="53.44140625" customWidth="1"/>
    <col min="261" max="261" width="15.6640625" customWidth="1"/>
    <col min="262" max="262" width="15.88671875" customWidth="1"/>
    <col min="263" max="263" width="15.5546875" customWidth="1"/>
    <col min="264" max="264" width="17" customWidth="1"/>
    <col min="265" max="265" width="17.88671875" customWidth="1"/>
    <col min="266" max="266" width="14.5546875" customWidth="1"/>
    <col min="267" max="267" width="15.109375" customWidth="1"/>
    <col min="268" max="268" width="17.109375" customWidth="1"/>
    <col min="269" max="269" width="15.6640625" customWidth="1"/>
    <col min="270" max="270" width="13.5546875" bestFit="1" customWidth="1"/>
    <col min="515" max="515" width="8.6640625" customWidth="1"/>
    <col min="516" max="516" width="53.44140625" customWidth="1"/>
    <col min="517" max="517" width="15.6640625" customWidth="1"/>
    <col min="518" max="518" width="15.88671875" customWidth="1"/>
    <col min="519" max="519" width="15.5546875" customWidth="1"/>
    <col min="520" max="520" width="17" customWidth="1"/>
    <col min="521" max="521" width="17.88671875" customWidth="1"/>
    <col min="522" max="522" width="14.5546875" customWidth="1"/>
    <col min="523" max="523" width="15.109375" customWidth="1"/>
    <col min="524" max="524" width="17.109375" customWidth="1"/>
    <col min="525" max="525" width="15.6640625" customWidth="1"/>
    <col min="526" max="526" width="13.5546875" bestFit="1" customWidth="1"/>
    <col min="771" max="771" width="8.6640625" customWidth="1"/>
    <col min="772" max="772" width="53.44140625" customWidth="1"/>
    <col min="773" max="773" width="15.6640625" customWidth="1"/>
    <col min="774" max="774" width="15.88671875" customWidth="1"/>
    <col min="775" max="775" width="15.5546875" customWidth="1"/>
    <col min="776" max="776" width="17" customWidth="1"/>
    <col min="777" max="777" width="17.88671875" customWidth="1"/>
    <col min="778" max="778" width="14.5546875" customWidth="1"/>
    <col min="779" max="779" width="15.109375" customWidth="1"/>
    <col min="780" max="780" width="17.109375" customWidth="1"/>
    <col min="781" max="781" width="15.6640625" customWidth="1"/>
    <col min="782" max="782" width="13.5546875" bestFit="1" customWidth="1"/>
    <col min="1027" max="1027" width="8.6640625" customWidth="1"/>
    <col min="1028" max="1028" width="53.44140625" customWidth="1"/>
    <col min="1029" max="1029" width="15.6640625" customWidth="1"/>
    <col min="1030" max="1030" width="15.88671875" customWidth="1"/>
    <col min="1031" max="1031" width="15.5546875" customWidth="1"/>
    <col min="1032" max="1032" width="17" customWidth="1"/>
    <col min="1033" max="1033" width="17.88671875" customWidth="1"/>
    <col min="1034" max="1034" width="14.5546875" customWidth="1"/>
    <col min="1035" max="1035" width="15.109375" customWidth="1"/>
    <col min="1036" max="1036" width="17.109375" customWidth="1"/>
    <col min="1037" max="1037" width="15.6640625" customWidth="1"/>
    <col min="1038" max="1038" width="13.5546875" bestFit="1" customWidth="1"/>
    <col min="1283" max="1283" width="8.6640625" customWidth="1"/>
    <col min="1284" max="1284" width="53.44140625" customWidth="1"/>
    <col min="1285" max="1285" width="15.6640625" customWidth="1"/>
    <col min="1286" max="1286" width="15.88671875" customWidth="1"/>
    <col min="1287" max="1287" width="15.5546875" customWidth="1"/>
    <col min="1288" max="1288" width="17" customWidth="1"/>
    <col min="1289" max="1289" width="17.88671875" customWidth="1"/>
    <col min="1290" max="1290" width="14.5546875" customWidth="1"/>
    <col min="1291" max="1291" width="15.109375" customWidth="1"/>
    <col min="1292" max="1292" width="17.109375" customWidth="1"/>
    <col min="1293" max="1293" width="15.6640625" customWidth="1"/>
    <col min="1294" max="1294" width="13.5546875" bestFit="1" customWidth="1"/>
    <col min="1539" max="1539" width="8.6640625" customWidth="1"/>
    <col min="1540" max="1540" width="53.44140625" customWidth="1"/>
    <col min="1541" max="1541" width="15.6640625" customWidth="1"/>
    <col min="1542" max="1542" width="15.88671875" customWidth="1"/>
    <col min="1543" max="1543" width="15.5546875" customWidth="1"/>
    <col min="1544" max="1544" width="17" customWidth="1"/>
    <col min="1545" max="1545" width="17.88671875" customWidth="1"/>
    <col min="1546" max="1546" width="14.5546875" customWidth="1"/>
    <col min="1547" max="1547" width="15.109375" customWidth="1"/>
    <col min="1548" max="1548" width="17.109375" customWidth="1"/>
    <col min="1549" max="1549" width="15.6640625" customWidth="1"/>
    <col min="1550" max="1550" width="13.5546875" bestFit="1" customWidth="1"/>
    <col min="1795" max="1795" width="8.6640625" customWidth="1"/>
    <col min="1796" max="1796" width="53.44140625" customWidth="1"/>
    <col min="1797" max="1797" width="15.6640625" customWidth="1"/>
    <col min="1798" max="1798" width="15.88671875" customWidth="1"/>
    <col min="1799" max="1799" width="15.5546875" customWidth="1"/>
    <col min="1800" max="1800" width="17" customWidth="1"/>
    <col min="1801" max="1801" width="17.88671875" customWidth="1"/>
    <col min="1802" max="1802" width="14.5546875" customWidth="1"/>
    <col min="1803" max="1803" width="15.109375" customWidth="1"/>
    <col min="1804" max="1804" width="17.109375" customWidth="1"/>
    <col min="1805" max="1805" width="15.6640625" customWidth="1"/>
    <col min="1806" max="1806" width="13.5546875" bestFit="1" customWidth="1"/>
    <col min="2051" max="2051" width="8.6640625" customWidth="1"/>
    <col min="2052" max="2052" width="53.44140625" customWidth="1"/>
    <col min="2053" max="2053" width="15.6640625" customWidth="1"/>
    <col min="2054" max="2054" width="15.88671875" customWidth="1"/>
    <col min="2055" max="2055" width="15.5546875" customWidth="1"/>
    <col min="2056" max="2056" width="17" customWidth="1"/>
    <col min="2057" max="2057" width="17.88671875" customWidth="1"/>
    <col min="2058" max="2058" width="14.5546875" customWidth="1"/>
    <col min="2059" max="2059" width="15.109375" customWidth="1"/>
    <col min="2060" max="2060" width="17.109375" customWidth="1"/>
    <col min="2061" max="2061" width="15.6640625" customWidth="1"/>
    <col min="2062" max="2062" width="13.5546875" bestFit="1" customWidth="1"/>
    <col min="2307" max="2307" width="8.6640625" customWidth="1"/>
    <col min="2308" max="2308" width="53.44140625" customWidth="1"/>
    <col min="2309" max="2309" width="15.6640625" customWidth="1"/>
    <col min="2310" max="2310" width="15.88671875" customWidth="1"/>
    <col min="2311" max="2311" width="15.5546875" customWidth="1"/>
    <col min="2312" max="2312" width="17" customWidth="1"/>
    <col min="2313" max="2313" width="17.88671875" customWidth="1"/>
    <col min="2314" max="2314" width="14.5546875" customWidth="1"/>
    <col min="2315" max="2315" width="15.109375" customWidth="1"/>
    <col min="2316" max="2316" width="17.109375" customWidth="1"/>
    <col min="2317" max="2317" width="15.6640625" customWidth="1"/>
    <col min="2318" max="2318" width="13.5546875" bestFit="1" customWidth="1"/>
    <col min="2563" max="2563" width="8.6640625" customWidth="1"/>
    <col min="2564" max="2564" width="53.44140625" customWidth="1"/>
    <col min="2565" max="2565" width="15.6640625" customWidth="1"/>
    <col min="2566" max="2566" width="15.88671875" customWidth="1"/>
    <col min="2567" max="2567" width="15.5546875" customWidth="1"/>
    <col min="2568" max="2568" width="17" customWidth="1"/>
    <col min="2569" max="2569" width="17.88671875" customWidth="1"/>
    <col min="2570" max="2570" width="14.5546875" customWidth="1"/>
    <col min="2571" max="2571" width="15.109375" customWidth="1"/>
    <col min="2572" max="2572" width="17.109375" customWidth="1"/>
    <col min="2573" max="2573" width="15.6640625" customWidth="1"/>
    <col min="2574" max="2574" width="13.5546875" bestFit="1" customWidth="1"/>
    <col min="2819" max="2819" width="8.6640625" customWidth="1"/>
    <col min="2820" max="2820" width="53.44140625" customWidth="1"/>
    <col min="2821" max="2821" width="15.6640625" customWidth="1"/>
    <col min="2822" max="2822" width="15.88671875" customWidth="1"/>
    <col min="2823" max="2823" width="15.5546875" customWidth="1"/>
    <col min="2824" max="2824" width="17" customWidth="1"/>
    <col min="2825" max="2825" width="17.88671875" customWidth="1"/>
    <col min="2826" max="2826" width="14.5546875" customWidth="1"/>
    <col min="2827" max="2827" width="15.109375" customWidth="1"/>
    <col min="2828" max="2828" width="17.109375" customWidth="1"/>
    <col min="2829" max="2829" width="15.6640625" customWidth="1"/>
    <col min="2830" max="2830" width="13.5546875" bestFit="1" customWidth="1"/>
    <col min="3075" max="3075" width="8.6640625" customWidth="1"/>
    <col min="3076" max="3076" width="53.44140625" customWidth="1"/>
    <col min="3077" max="3077" width="15.6640625" customWidth="1"/>
    <col min="3078" max="3078" width="15.88671875" customWidth="1"/>
    <col min="3079" max="3079" width="15.5546875" customWidth="1"/>
    <col min="3080" max="3080" width="17" customWidth="1"/>
    <col min="3081" max="3081" width="17.88671875" customWidth="1"/>
    <col min="3082" max="3082" width="14.5546875" customWidth="1"/>
    <col min="3083" max="3083" width="15.109375" customWidth="1"/>
    <col min="3084" max="3084" width="17.109375" customWidth="1"/>
    <col min="3085" max="3085" width="15.6640625" customWidth="1"/>
    <col min="3086" max="3086" width="13.5546875" bestFit="1" customWidth="1"/>
    <col min="3331" max="3331" width="8.6640625" customWidth="1"/>
    <col min="3332" max="3332" width="53.44140625" customWidth="1"/>
    <col min="3333" max="3333" width="15.6640625" customWidth="1"/>
    <col min="3334" max="3334" width="15.88671875" customWidth="1"/>
    <col min="3335" max="3335" width="15.5546875" customWidth="1"/>
    <col min="3336" max="3336" width="17" customWidth="1"/>
    <col min="3337" max="3337" width="17.88671875" customWidth="1"/>
    <col min="3338" max="3338" width="14.5546875" customWidth="1"/>
    <col min="3339" max="3339" width="15.109375" customWidth="1"/>
    <col min="3340" max="3340" width="17.109375" customWidth="1"/>
    <col min="3341" max="3341" width="15.6640625" customWidth="1"/>
    <col min="3342" max="3342" width="13.5546875" bestFit="1" customWidth="1"/>
    <col min="3587" max="3587" width="8.6640625" customWidth="1"/>
    <col min="3588" max="3588" width="53.44140625" customWidth="1"/>
    <col min="3589" max="3589" width="15.6640625" customWidth="1"/>
    <col min="3590" max="3590" width="15.88671875" customWidth="1"/>
    <col min="3591" max="3591" width="15.5546875" customWidth="1"/>
    <col min="3592" max="3592" width="17" customWidth="1"/>
    <col min="3593" max="3593" width="17.88671875" customWidth="1"/>
    <col min="3594" max="3594" width="14.5546875" customWidth="1"/>
    <col min="3595" max="3595" width="15.109375" customWidth="1"/>
    <col min="3596" max="3596" width="17.109375" customWidth="1"/>
    <col min="3597" max="3597" width="15.6640625" customWidth="1"/>
    <col min="3598" max="3598" width="13.5546875" bestFit="1" customWidth="1"/>
    <col min="3843" max="3843" width="8.6640625" customWidth="1"/>
    <col min="3844" max="3844" width="53.44140625" customWidth="1"/>
    <col min="3845" max="3845" width="15.6640625" customWidth="1"/>
    <col min="3846" max="3846" width="15.88671875" customWidth="1"/>
    <col min="3847" max="3847" width="15.5546875" customWidth="1"/>
    <col min="3848" max="3848" width="17" customWidth="1"/>
    <col min="3849" max="3849" width="17.88671875" customWidth="1"/>
    <col min="3850" max="3850" width="14.5546875" customWidth="1"/>
    <col min="3851" max="3851" width="15.109375" customWidth="1"/>
    <col min="3852" max="3852" width="17.109375" customWidth="1"/>
    <col min="3853" max="3853" width="15.6640625" customWidth="1"/>
    <col min="3854" max="3854" width="13.5546875" bestFit="1" customWidth="1"/>
    <col min="4099" max="4099" width="8.6640625" customWidth="1"/>
    <col min="4100" max="4100" width="53.44140625" customWidth="1"/>
    <col min="4101" max="4101" width="15.6640625" customWidth="1"/>
    <col min="4102" max="4102" width="15.88671875" customWidth="1"/>
    <col min="4103" max="4103" width="15.5546875" customWidth="1"/>
    <col min="4104" max="4104" width="17" customWidth="1"/>
    <col min="4105" max="4105" width="17.88671875" customWidth="1"/>
    <col min="4106" max="4106" width="14.5546875" customWidth="1"/>
    <col min="4107" max="4107" width="15.109375" customWidth="1"/>
    <col min="4108" max="4108" width="17.109375" customWidth="1"/>
    <col min="4109" max="4109" width="15.6640625" customWidth="1"/>
    <col min="4110" max="4110" width="13.5546875" bestFit="1" customWidth="1"/>
    <col min="4355" max="4355" width="8.6640625" customWidth="1"/>
    <col min="4356" max="4356" width="53.44140625" customWidth="1"/>
    <col min="4357" max="4357" width="15.6640625" customWidth="1"/>
    <col min="4358" max="4358" width="15.88671875" customWidth="1"/>
    <col min="4359" max="4359" width="15.5546875" customWidth="1"/>
    <col min="4360" max="4360" width="17" customWidth="1"/>
    <col min="4361" max="4361" width="17.88671875" customWidth="1"/>
    <col min="4362" max="4362" width="14.5546875" customWidth="1"/>
    <col min="4363" max="4363" width="15.109375" customWidth="1"/>
    <col min="4364" max="4364" width="17.109375" customWidth="1"/>
    <col min="4365" max="4365" width="15.6640625" customWidth="1"/>
    <col min="4366" max="4366" width="13.5546875" bestFit="1" customWidth="1"/>
    <col min="4611" max="4611" width="8.6640625" customWidth="1"/>
    <col min="4612" max="4612" width="53.44140625" customWidth="1"/>
    <col min="4613" max="4613" width="15.6640625" customWidth="1"/>
    <col min="4614" max="4614" width="15.88671875" customWidth="1"/>
    <col min="4615" max="4615" width="15.5546875" customWidth="1"/>
    <col min="4616" max="4616" width="17" customWidth="1"/>
    <col min="4617" max="4617" width="17.88671875" customWidth="1"/>
    <col min="4618" max="4618" width="14.5546875" customWidth="1"/>
    <col min="4619" max="4619" width="15.109375" customWidth="1"/>
    <col min="4620" max="4620" width="17.109375" customWidth="1"/>
    <col min="4621" max="4621" width="15.6640625" customWidth="1"/>
    <col min="4622" max="4622" width="13.5546875" bestFit="1" customWidth="1"/>
    <col min="4867" max="4867" width="8.6640625" customWidth="1"/>
    <col min="4868" max="4868" width="53.44140625" customWidth="1"/>
    <col min="4869" max="4869" width="15.6640625" customWidth="1"/>
    <col min="4870" max="4870" width="15.88671875" customWidth="1"/>
    <col min="4871" max="4871" width="15.5546875" customWidth="1"/>
    <col min="4872" max="4872" width="17" customWidth="1"/>
    <col min="4873" max="4873" width="17.88671875" customWidth="1"/>
    <col min="4874" max="4874" width="14.5546875" customWidth="1"/>
    <col min="4875" max="4875" width="15.109375" customWidth="1"/>
    <col min="4876" max="4876" width="17.109375" customWidth="1"/>
    <col min="4877" max="4877" width="15.6640625" customWidth="1"/>
    <col min="4878" max="4878" width="13.5546875" bestFit="1" customWidth="1"/>
    <col min="5123" max="5123" width="8.6640625" customWidth="1"/>
    <col min="5124" max="5124" width="53.44140625" customWidth="1"/>
    <col min="5125" max="5125" width="15.6640625" customWidth="1"/>
    <col min="5126" max="5126" width="15.88671875" customWidth="1"/>
    <col min="5127" max="5127" width="15.5546875" customWidth="1"/>
    <col min="5128" max="5128" width="17" customWidth="1"/>
    <col min="5129" max="5129" width="17.88671875" customWidth="1"/>
    <col min="5130" max="5130" width="14.5546875" customWidth="1"/>
    <col min="5131" max="5131" width="15.109375" customWidth="1"/>
    <col min="5132" max="5132" width="17.109375" customWidth="1"/>
    <col min="5133" max="5133" width="15.6640625" customWidth="1"/>
    <col min="5134" max="5134" width="13.5546875" bestFit="1" customWidth="1"/>
    <col min="5379" max="5379" width="8.6640625" customWidth="1"/>
    <col min="5380" max="5380" width="53.44140625" customWidth="1"/>
    <col min="5381" max="5381" width="15.6640625" customWidth="1"/>
    <col min="5382" max="5382" width="15.88671875" customWidth="1"/>
    <col min="5383" max="5383" width="15.5546875" customWidth="1"/>
    <col min="5384" max="5384" width="17" customWidth="1"/>
    <col min="5385" max="5385" width="17.88671875" customWidth="1"/>
    <col min="5386" max="5386" width="14.5546875" customWidth="1"/>
    <col min="5387" max="5387" width="15.109375" customWidth="1"/>
    <col min="5388" max="5388" width="17.109375" customWidth="1"/>
    <col min="5389" max="5389" width="15.6640625" customWidth="1"/>
    <col min="5390" max="5390" width="13.5546875" bestFit="1" customWidth="1"/>
    <col min="5635" max="5635" width="8.6640625" customWidth="1"/>
    <col min="5636" max="5636" width="53.44140625" customWidth="1"/>
    <col min="5637" max="5637" width="15.6640625" customWidth="1"/>
    <col min="5638" max="5638" width="15.88671875" customWidth="1"/>
    <col min="5639" max="5639" width="15.5546875" customWidth="1"/>
    <col min="5640" max="5640" width="17" customWidth="1"/>
    <col min="5641" max="5641" width="17.88671875" customWidth="1"/>
    <col min="5642" max="5642" width="14.5546875" customWidth="1"/>
    <col min="5643" max="5643" width="15.109375" customWidth="1"/>
    <col min="5644" max="5644" width="17.109375" customWidth="1"/>
    <col min="5645" max="5645" width="15.6640625" customWidth="1"/>
    <col min="5646" max="5646" width="13.5546875" bestFit="1" customWidth="1"/>
    <col min="5891" max="5891" width="8.6640625" customWidth="1"/>
    <col min="5892" max="5892" width="53.44140625" customWidth="1"/>
    <col min="5893" max="5893" width="15.6640625" customWidth="1"/>
    <col min="5894" max="5894" width="15.88671875" customWidth="1"/>
    <col min="5895" max="5895" width="15.5546875" customWidth="1"/>
    <col min="5896" max="5896" width="17" customWidth="1"/>
    <col min="5897" max="5897" width="17.88671875" customWidth="1"/>
    <col min="5898" max="5898" width="14.5546875" customWidth="1"/>
    <col min="5899" max="5899" width="15.109375" customWidth="1"/>
    <col min="5900" max="5900" width="17.109375" customWidth="1"/>
    <col min="5901" max="5901" width="15.6640625" customWidth="1"/>
    <col min="5902" max="5902" width="13.5546875" bestFit="1" customWidth="1"/>
    <col min="6147" max="6147" width="8.6640625" customWidth="1"/>
    <col min="6148" max="6148" width="53.44140625" customWidth="1"/>
    <col min="6149" max="6149" width="15.6640625" customWidth="1"/>
    <col min="6150" max="6150" width="15.88671875" customWidth="1"/>
    <col min="6151" max="6151" width="15.5546875" customWidth="1"/>
    <col min="6152" max="6152" width="17" customWidth="1"/>
    <col min="6153" max="6153" width="17.88671875" customWidth="1"/>
    <col min="6154" max="6154" width="14.5546875" customWidth="1"/>
    <col min="6155" max="6155" width="15.109375" customWidth="1"/>
    <col min="6156" max="6156" width="17.109375" customWidth="1"/>
    <col min="6157" max="6157" width="15.6640625" customWidth="1"/>
    <col min="6158" max="6158" width="13.5546875" bestFit="1" customWidth="1"/>
    <col min="6403" max="6403" width="8.6640625" customWidth="1"/>
    <col min="6404" max="6404" width="53.44140625" customWidth="1"/>
    <col min="6405" max="6405" width="15.6640625" customWidth="1"/>
    <col min="6406" max="6406" width="15.88671875" customWidth="1"/>
    <col min="6407" max="6407" width="15.5546875" customWidth="1"/>
    <col min="6408" max="6408" width="17" customWidth="1"/>
    <col min="6409" max="6409" width="17.88671875" customWidth="1"/>
    <col min="6410" max="6410" width="14.5546875" customWidth="1"/>
    <col min="6411" max="6411" width="15.109375" customWidth="1"/>
    <col min="6412" max="6412" width="17.109375" customWidth="1"/>
    <col min="6413" max="6413" width="15.6640625" customWidth="1"/>
    <col min="6414" max="6414" width="13.5546875" bestFit="1" customWidth="1"/>
    <col min="6659" max="6659" width="8.6640625" customWidth="1"/>
    <col min="6660" max="6660" width="53.44140625" customWidth="1"/>
    <col min="6661" max="6661" width="15.6640625" customWidth="1"/>
    <col min="6662" max="6662" width="15.88671875" customWidth="1"/>
    <col min="6663" max="6663" width="15.5546875" customWidth="1"/>
    <col min="6664" max="6664" width="17" customWidth="1"/>
    <col min="6665" max="6665" width="17.88671875" customWidth="1"/>
    <col min="6666" max="6666" width="14.5546875" customWidth="1"/>
    <col min="6667" max="6667" width="15.109375" customWidth="1"/>
    <col min="6668" max="6668" width="17.109375" customWidth="1"/>
    <col min="6669" max="6669" width="15.6640625" customWidth="1"/>
    <col min="6670" max="6670" width="13.5546875" bestFit="1" customWidth="1"/>
    <col min="6915" max="6915" width="8.6640625" customWidth="1"/>
    <col min="6916" max="6916" width="53.44140625" customWidth="1"/>
    <col min="6917" max="6917" width="15.6640625" customWidth="1"/>
    <col min="6918" max="6918" width="15.88671875" customWidth="1"/>
    <col min="6919" max="6919" width="15.5546875" customWidth="1"/>
    <col min="6920" max="6920" width="17" customWidth="1"/>
    <col min="6921" max="6921" width="17.88671875" customWidth="1"/>
    <col min="6922" max="6922" width="14.5546875" customWidth="1"/>
    <col min="6923" max="6923" width="15.109375" customWidth="1"/>
    <col min="6924" max="6924" width="17.109375" customWidth="1"/>
    <col min="6925" max="6925" width="15.6640625" customWidth="1"/>
    <col min="6926" max="6926" width="13.5546875" bestFit="1" customWidth="1"/>
    <col min="7171" max="7171" width="8.6640625" customWidth="1"/>
    <col min="7172" max="7172" width="53.44140625" customWidth="1"/>
    <col min="7173" max="7173" width="15.6640625" customWidth="1"/>
    <col min="7174" max="7174" width="15.88671875" customWidth="1"/>
    <col min="7175" max="7175" width="15.5546875" customWidth="1"/>
    <col min="7176" max="7176" width="17" customWidth="1"/>
    <col min="7177" max="7177" width="17.88671875" customWidth="1"/>
    <col min="7178" max="7178" width="14.5546875" customWidth="1"/>
    <col min="7179" max="7179" width="15.109375" customWidth="1"/>
    <col min="7180" max="7180" width="17.109375" customWidth="1"/>
    <col min="7181" max="7181" width="15.6640625" customWidth="1"/>
    <col min="7182" max="7182" width="13.5546875" bestFit="1" customWidth="1"/>
    <col min="7427" max="7427" width="8.6640625" customWidth="1"/>
    <col min="7428" max="7428" width="53.44140625" customWidth="1"/>
    <col min="7429" max="7429" width="15.6640625" customWidth="1"/>
    <col min="7430" max="7430" width="15.88671875" customWidth="1"/>
    <col min="7431" max="7431" width="15.5546875" customWidth="1"/>
    <col min="7432" max="7432" width="17" customWidth="1"/>
    <col min="7433" max="7433" width="17.88671875" customWidth="1"/>
    <col min="7434" max="7434" width="14.5546875" customWidth="1"/>
    <col min="7435" max="7435" width="15.109375" customWidth="1"/>
    <col min="7436" max="7436" width="17.109375" customWidth="1"/>
    <col min="7437" max="7437" width="15.6640625" customWidth="1"/>
    <col min="7438" max="7438" width="13.5546875" bestFit="1" customWidth="1"/>
    <col min="7683" max="7683" width="8.6640625" customWidth="1"/>
    <col min="7684" max="7684" width="53.44140625" customWidth="1"/>
    <col min="7685" max="7685" width="15.6640625" customWidth="1"/>
    <col min="7686" max="7686" width="15.88671875" customWidth="1"/>
    <col min="7687" max="7687" width="15.5546875" customWidth="1"/>
    <col min="7688" max="7688" width="17" customWidth="1"/>
    <col min="7689" max="7689" width="17.88671875" customWidth="1"/>
    <col min="7690" max="7690" width="14.5546875" customWidth="1"/>
    <col min="7691" max="7691" width="15.109375" customWidth="1"/>
    <col min="7692" max="7692" width="17.109375" customWidth="1"/>
    <col min="7693" max="7693" width="15.6640625" customWidth="1"/>
    <col min="7694" max="7694" width="13.5546875" bestFit="1" customWidth="1"/>
    <col min="7939" max="7939" width="8.6640625" customWidth="1"/>
    <col min="7940" max="7940" width="53.44140625" customWidth="1"/>
    <col min="7941" max="7941" width="15.6640625" customWidth="1"/>
    <col min="7942" max="7942" width="15.88671875" customWidth="1"/>
    <col min="7943" max="7943" width="15.5546875" customWidth="1"/>
    <col min="7944" max="7944" width="17" customWidth="1"/>
    <col min="7945" max="7945" width="17.88671875" customWidth="1"/>
    <col min="7946" max="7946" width="14.5546875" customWidth="1"/>
    <col min="7947" max="7947" width="15.109375" customWidth="1"/>
    <col min="7948" max="7948" width="17.109375" customWidth="1"/>
    <col min="7949" max="7949" width="15.6640625" customWidth="1"/>
    <col min="7950" max="7950" width="13.5546875" bestFit="1" customWidth="1"/>
    <col min="8195" max="8195" width="8.6640625" customWidth="1"/>
    <col min="8196" max="8196" width="53.44140625" customWidth="1"/>
    <col min="8197" max="8197" width="15.6640625" customWidth="1"/>
    <col min="8198" max="8198" width="15.88671875" customWidth="1"/>
    <col min="8199" max="8199" width="15.5546875" customWidth="1"/>
    <col min="8200" max="8200" width="17" customWidth="1"/>
    <col min="8201" max="8201" width="17.88671875" customWidth="1"/>
    <col min="8202" max="8202" width="14.5546875" customWidth="1"/>
    <col min="8203" max="8203" width="15.109375" customWidth="1"/>
    <col min="8204" max="8204" width="17.109375" customWidth="1"/>
    <col min="8205" max="8205" width="15.6640625" customWidth="1"/>
    <col min="8206" max="8206" width="13.5546875" bestFit="1" customWidth="1"/>
    <col min="8451" max="8451" width="8.6640625" customWidth="1"/>
    <col min="8452" max="8452" width="53.44140625" customWidth="1"/>
    <col min="8453" max="8453" width="15.6640625" customWidth="1"/>
    <col min="8454" max="8454" width="15.88671875" customWidth="1"/>
    <col min="8455" max="8455" width="15.5546875" customWidth="1"/>
    <col min="8456" max="8456" width="17" customWidth="1"/>
    <col min="8457" max="8457" width="17.88671875" customWidth="1"/>
    <col min="8458" max="8458" width="14.5546875" customWidth="1"/>
    <col min="8459" max="8459" width="15.109375" customWidth="1"/>
    <col min="8460" max="8460" width="17.109375" customWidth="1"/>
    <col min="8461" max="8461" width="15.6640625" customWidth="1"/>
    <col min="8462" max="8462" width="13.5546875" bestFit="1" customWidth="1"/>
    <col min="8707" max="8707" width="8.6640625" customWidth="1"/>
    <col min="8708" max="8708" width="53.44140625" customWidth="1"/>
    <col min="8709" max="8709" width="15.6640625" customWidth="1"/>
    <col min="8710" max="8710" width="15.88671875" customWidth="1"/>
    <col min="8711" max="8711" width="15.5546875" customWidth="1"/>
    <col min="8712" max="8712" width="17" customWidth="1"/>
    <col min="8713" max="8713" width="17.88671875" customWidth="1"/>
    <col min="8714" max="8714" width="14.5546875" customWidth="1"/>
    <col min="8715" max="8715" width="15.109375" customWidth="1"/>
    <col min="8716" max="8716" width="17.109375" customWidth="1"/>
    <col min="8717" max="8717" width="15.6640625" customWidth="1"/>
    <col min="8718" max="8718" width="13.5546875" bestFit="1" customWidth="1"/>
    <col min="8963" max="8963" width="8.6640625" customWidth="1"/>
    <col min="8964" max="8964" width="53.44140625" customWidth="1"/>
    <col min="8965" max="8965" width="15.6640625" customWidth="1"/>
    <col min="8966" max="8966" width="15.88671875" customWidth="1"/>
    <col min="8967" max="8967" width="15.5546875" customWidth="1"/>
    <col min="8968" max="8968" width="17" customWidth="1"/>
    <col min="8969" max="8969" width="17.88671875" customWidth="1"/>
    <col min="8970" max="8970" width="14.5546875" customWidth="1"/>
    <col min="8971" max="8971" width="15.109375" customWidth="1"/>
    <col min="8972" max="8972" width="17.109375" customWidth="1"/>
    <col min="8973" max="8973" width="15.6640625" customWidth="1"/>
    <col min="8974" max="8974" width="13.5546875" bestFit="1" customWidth="1"/>
    <col min="9219" max="9219" width="8.6640625" customWidth="1"/>
    <col min="9220" max="9220" width="53.44140625" customWidth="1"/>
    <col min="9221" max="9221" width="15.6640625" customWidth="1"/>
    <col min="9222" max="9222" width="15.88671875" customWidth="1"/>
    <col min="9223" max="9223" width="15.5546875" customWidth="1"/>
    <col min="9224" max="9224" width="17" customWidth="1"/>
    <col min="9225" max="9225" width="17.88671875" customWidth="1"/>
    <col min="9226" max="9226" width="14.5546875" customWidth="1"/>
    <col min="9227" max="9227" width="15.109375" customWidth="1"/>
    <col min="9228" max="9228" width="17.109375" customWidth="1"/>
    <col min="9229" max="9229" width="15.6640625" customWidth="1"/>
    <col min="9230" max="9230" width="13.5546875" bestFit="1" customWidth="1"/>
    <col min="9475" max="9475" width="8.6640625" customWidth="1"/>
    <col min="9476" max="9476" width="53.44140625" customWidth="1"/>
    <col min="9477" max="9477" width="15.6640625" customWidth="1"/>
    <col min="9478" max="9478" width="15.88671875" customWidth="1"/>
    <col min="9479" max="9479" width="15.5546875" customWidth="1"/>
    <col min="9480" max="9480" width="17" customWidth="1"/>
    <col min="9481" max="9481" width="17.88671875" customWidth="1"/>
    <col min="9482" max="9482" width="14.5546875" customWidth="1"/>
    <col min="9483" max="9483" width="15.109375" customWidth="1"/>
    <col min="9484" max="9484" width="17.109375" customWidth="1"/>
    <col min="9485" max="9485" width="15.6640625" customWidth="1"/>
    <col min="9486" max="9486" width="13.5546875" bestFit="1" customWidth="1"/>
    <col min="9731" max="9731" width="8.6640625" customWidth="1"/>
    <col min="9732" max="9732" width="53.44140625" customWidth="1"/>
    <col min="9733" max="9733" width="15.6640625" customWidth="1"/>
    <col min="9734" max="9734" width="15.88671875" customWidth="1"/>
    <col min="9735" max="9735" width="15.5546875" customWidth="1"/>
    <col min="9736" max="9736" width="17" customWidth="1"/>
    <col min="9737" max="9737" width="17.88671875" customWidth="1"/>
    <col min="9738" max="9738" width="14.5546875" customWidth="1"/>
    <col min="9739" max="9739" width="15.109375" customWidth="1"/>
    <col min="9740" max="9740" width="17.109375" customWidth="1"/>
    <col min="9741" max="9741" width="15.6640625" customWidth="1"/>
    <col min="9742" max="9742" width="13.5546875" bestFit="1" customWidth="1"/>
    <col min="9987" max="9987" width="8.6640625" customWidth="1"/>
    <col min="9988" max="9988" width="53.44140625" customWidth="1"/>
    <col min="9989" max="9989" width="15.6640625" customWidth="1"/>
    <col min="9990" max="9990" width="15.88671875" customWidth="1"/>
    <col min="9991" max="9991" width="15.5546875" customWidth="1"/>
    <col min="9992" max="9992" width="17" customWidth="1"/>
    <col min="9993" max="9993" width="17.88671875" customWidth="1"/>
    <col min="9994" max="9994" width="14.5546875" customWidth="1"/>
    <col min="9995" max="9995" width="15.109375" customWidth="1"/>
    <col min="9996" max="9996" width="17.109375" customWidth="1"/>
    <col min="9997" max="9997" width="15.6640625" customWidth="1"/>
    <col min="9998" max="9998" width="13.5546875" bestFit="1" customWidth="1"/>
    <col min="10243" max="10243" width="8.6640625" customWidth="1"/>
    <col min="10244" max="10244" width="53.44140625" customWidth="1"/>
    <col min="10245" max="10245" width="15.6640625" customWidth="1"/>
    <col min="10246" max="10246" width="15.88671875" customWidth="1"/>
    <col min="10247" max="10247" width="15.5546875" customWidth="1"/>
    <col min="10248" max="10248" width="17" customWidth="1"/>
    <col min="10249" max="10249" width="17.88671875" customWidth="1"/>
    <col min="10250" max="10250" width="14.5546875" customWidth="1"/>
    <col min="10251" max="10251" width="15.109375" customWidth="1"/>
    <col min="10252" max="10252" width="17.109375" customWidth="1"/>
    <col min="10253" max="10253" width="15.6640625" customWidth="1"/>
    <col min="10254" max="10254" width="13.5546875" bestFit="1" customWidth="1"/>
    <col min="10499" max="10499" width="8.6640625" customWidth="1"/>
    <col min="10500" max="10500" width="53.44140625" customWidth="1"/>
    <col min="10501" max="10501" width="15.6640625" customWidth="1"/>
    <col min="10502" max="10502" width="15.88671875" customWidth="1"/>
    <col min="10503" max="10503" width="15.5546875" customWidth="1"/>
    <col min="10504" max="10504" width="17" customWidth="1"/>
    <col min="10505" max="10505" width="17.88671875" customWidth="1"/>
    <col min="10506" max="10506" width="14.5546875" customWidth="1"/>
    <col min="10507" max="10507" width="15.109375" customWidth="1"/>
    <col min="10508" max="10508" width="17.109375" customWidth="1"/>
    <col min="10509" max="10509" width="15.6640625" customWidth="1"/>
    <col min="10510" max="10510" width="13.5546875" bestFit="1" customWidth="1"/>
    <col min="10755" max="10755" width="8.6640625" customWidth="1"/>
    <col min="10756" max="10756" width="53.44140625" customWidth="1"/>
    <col min="10757" max="10757" width="15.6640625" customWidth="1"/>
    <col min="10758" max="10758" width="15.88671875" customWidth="1"/>
    <col min="10759" max="10759" width="15.5546875" customWidth="1"/>
    <col min="10760" max="10760" width="17" customWidth="1"/>
    <col min="10761" max="10761" width="17.88671875" customWidth="1"/>
    <col min="10762" max="10762" width="14.5546875" customWidth="1"/>
    <col min="10763" max="10763" width="15.109375" customWidth="1"/>
    <col min="10764" max="10764" width="17.109375" customWidth="1"/>
    <col min="10765" max="10765" width="15.6640625" customWidth="1"/>
    <col min="10766" max="10766" width="13.5546875" bestFit="1" customWidth="1"/>
    <col min="11011" max="11011" width="8.6640625" customWidth="1"/>
    <col min="11012" max="11012" width="53.44140625" customWidth="1"/>
    <col min="11013" max="11013" width="15.6640625" customWidth="1"/>
    <col min="11014" max="11014" width="15.88671875" customWidth="1"/>
    <col min="11015" max="11015" width="15.5546875" customWidth="1"/>
    <col min="11016" max="11016" width="17" customWidth="1"/>
    <col min="11017" max="11017" width="17.88671875" customWidth="1"/>
    <col min="11018" max="11018" width="14.5546875" customWidth="1"/>
    <col min="11019" max="11019" width="15.109375" customWidth="1"/>
    <col min="11020" max="11020" width="17.109375" customWidth="1"/>
    <col min="11021" max="11021" width="15.6640625" customWidth="1"/>
    <col min="11022" max="11022" width="13.5546875" bestFit="1" customWidth="1"/>
    <col min="11267" max="11267" width="8.6640625" customWidth="1"/>
    <col min="11268" max="11268" width="53.44140625" customWidth="1"/>
    <col min="11269" max="11269" width="15.6640625" customWidth="1"/>
    <col min="11270" max="11270" width="15.88671875" customWidth="1"/>
    <col min="11271" max="11271" width="15.5546875" customWidth="1"/>
    <col min="11272" max="11272" width="17" customWidth="1"/>
    <col min="11273" max="11273" width="17.88671875" customWidth="1"/>
    <col min="11274" max="11274" width="14.5546875" customWidth="1"/>
    <col min="11275" max="11275" width="15.109375" customWidth="1"/>
    <col min="11276" max="11276" width="17.109375" customWidth="1"/>
    <col min="11277" max="11277" width="15.6640625" customWidth="1"/>
    <col min="11278" max="11278" width="13.5546875" bestFit="1" customWidth="1"/>
    <col min="11523" max="11523" width="8.6640625" customWidth="1"/>
    <col min="11524" max="11524" width="53.44140625" customWidth="1"/>
    <col min="11525" max="11525" width="15.6640625" customWidth="1"/>
    <col min="11526" max="11526" width="15.88671875" customWidth="1"/>
    <col min="11527" max="11527" width="15.5546875" customWidth="1"/>
    <col min="11528" max="11528" width="17" customWidth="1"/>
    <col min="11529" max="11529" width="17.88671875" customWidth="1"/>
    <col min="11530" max="11530" width="14.5546875" customWidth="1"/>
    <col min="11531" max="11531" width="15.109375" customWidth="1"/>
    <col min="11532" max="11532" width="17.109375" customWidth="1"/>
    <col min="11533" max="11533" width="15.6640625" customWidth="1"/>
    <col min="11534" max="11534" width="13.5546875" bestFit="1" customWidth="1"/>
    <col min="11779" max="11779" width="8.6640625" customWidth="1"/>
    <col min="11780" max="11780" width="53.44140625" customWidth="1"/>
    <col min="11781" max="11781" width="15.6640625" customWidth="1"/>
    <col min="11782" max="11782" width="15.88671875" customWidth="1"/>
    <col min="11783" max="11783" width="15.5546875" customWidth="1"/>
    <col min="11784" max="11784" width="17" customWidth="1"/>
    <col min="11785" max="11785" width="17.88671875" customWidth="1"/>
    <col min="11786" max="11786" width="14.5546875" customWidth="1"/>
    <col min="11787" max="11787" width="15.109375" customWidth="1"/>
    <col min="11788" max="11788" width="17.109375" customWidth="1"/>
    <col min="11789" max="11789" width="15.6640625" customWidth="1"/>
    <col min="11790" max="11790" width="13.5546875" bestFit="1" customWidth="1"/>
    <col min="12035" max="12035" width="8.6640625" customWidth="1"/>
    <col min="12036" max="12036" width="53.44140625" customWidth="1"/>
    <col min="12037" max="12037" width="15.6640625" customWidth="1"/>
    <col min="12038" max="12038" width="15.88671875" customWidth="1"/>
    <col min="12039" max="12039" width="15.5546875" customWidth="1"/>
    <col min="12040" max="12040" width="17" customWidth="1"/>
    <col min="12041" max="12041" width="17.88671875" customWidth="1"/>
    <col min="12042" max="12042" width="14.5546875" customWidth="1"/>
    <col min="12043" max="12043" width="15.109375" customWidth="1"/>
    <col min="12044" max="12044" width="17.109375" customWidth="1"/>
    <col min="12045" max="12045" width="15.6640625" customWidth="1"/>
    <col min="12046" max="12046" width="13.5546875" bestFit="1" customWidth="1"/>
    <col min="12291" max="12291" width="8.6640625" customWidth="1"/>
    <col min="12292" max="12292" width="53.44140625" customWidth="1"/>
    <col min="12293" max="12293" width="15.6640625" customWidth="1"/>
    <col min="12294" max="12294" width="15.88671875" customWidth="1"/>
    <col min="12295" max="12295" width="15.5546875" customWidth="1"/>
    <col min="12296" max="12296" width="17" customWidth="1"/>
    <col min="12297" max="12297" width="17.88671875" customWidth="1"/>
    <col min="12298" max="12298" width="14.5546875" customWidth="1"/>
    <col min="12299" max="12299" width="15.109375" customWidth="1"/>
    <col min="12300" max="12300" width="17.109375" customWidth="1"/>
    <col min="12301" max="12301" width="15.6640625" customWidth="1"/>
    <col min="12302" max="12302" width="13.5546875" bestFit="1" customWidth="1"/>
    <col min="12547" max="12547" width="8.6640625" customWidth="1"/>
    <col min="12548" max="12548" width="53.44140625" customWidth="1"/>
    <col min="12549" max="12549" width="15.6640625" customWidth="1"/>
    <col min="12550" max="12550" width="15.88671875" customWidth="1"/>
    <col min="12551" max="12551" width="15.5546875" customWidth="1"/>
    <col min="12552" max="12552" width="17" customWidth="1"/>
    <col min="12553" max="12553" width="17.88671875" customWidth="1"/>
    <col min="12554" max="12554" width="14.5546875" customWidth="1"/>
    <col min="12555" max="12555" width="15.109375" customWidth="1"/>
    <col min="12556" max="12556" width="17.109375" customWidth="1"/>
    <col min="12557" max="12557" width="15.6640625" customWidth="1"/>
    <col min="12558" max="12558" width="13.5546875" bestFit="1" customWidth="1"/>
    <col min="12803" max="12803" width="8.6640625" customWidth="1"/>
    <col min="12804" max="12804" width="53.44140625" customWidth="1"/>
    <col min="12805" max="12805" width="15.6640625" customWidth="1"/>
    <col min="12806" max="12806" width="15.88671875" customWidth="1"/>
    <col min="12807" max="12807" width="15.5546875" customWidth="1"/>
    <col min="12808" max="12808" width="17" customWidth="1"/>
    <col min="12809" max="12809" width="17.88671875" customWidth="1"/>
    <col min="12810" max="12810" width="14.5546875" customWidth="1"/>
    <col min="12811" max="12811" width="15.109375" customWidth="1"/>
    <col min="12812" max="12812" width="17.109375" customWidth="1"/>
    <col min="12813" max="12813" width="15.6640625" customWidth="1"/>
    <col min="12814" max="12814" width="13.5546875" bestFit="1" customWidth="1"/>
    <col min="13059" max="13059" width="8.6640625" customWidth="1"/>
    <col min="13060" max="13060" width="53.44140625" customWidth="1"/>
    <col min="13061" max="13061" width="15.6640625" customWidth="1"/>
    <col min="13062" max="13062" width="15.88671875" customWidth="1"/>
    <col min="13063" max="13063" width="15.5546875" customWidth="1"/>
    <col min="13064" max="13064" width="17" customWidth="1"/>
    <col min="13065" max="13065" width="17.88671875" customWidth="1"/>
    <col min="13066" max="13066" width="14.5546875" customWidth="1"/>
    <col min="13067" max="13067" width="15.109375" customWidth="1"/>
    <col min="13068" max="13068" width="17.109375" customWidth="1"/>
    <col min="13069" max="13069" width="15.6640625" customWidth="1"/>
    <col min="13070" max="13070" width="13.5546875" bestFit="1" customWidth="1"/>
    <col min="13315" max="13315" width="8.6640625" customWidth="1"/>
    <col min="13316" max="13316" width="53.44140625" customWidth="1"/>
    <col min="13317" max="13317" width="15.6640625" customWidth="1"/>
    <col min="13318" max="13318" width="15.88671875" customWidth="1"/>
    <col min="13319" max="13319" width="15.5546875" customWidth="1"/>
    <col min="13320" max="13320" width="17" customWidth="1"/>
    <col min="13321" max="13321" width="17.88671875" customWidth="1"/>
    <col min="13322" max="13322" width="14.5546875" customWidth="1"/>
    <col min="13323" max="13323" width="15.109375" customWidth="1"/>
    <col min="13324" max="13324" width="17.109375" customWidth="1"/>
    <col min="13325" max="13325" width="15.6640625" customWidth="1"/>
    <col min="13326" max="13326" width="13.5546875" bestFit="1" customWidth="1"/>
    <col min="13571" max="13571" width="8.6640625" customWidth="1"/>
    <col min="13572" max="13572" width="53.44140625" customWidth="1"/>
    <col min="13573" max="13573" width="15.6640625" customWidth="1"/>
    <col min="13574" max="13574" width="15.88671875" customWidth="1"/>
    <col min="13575" max="13575" width="15.5546875" customWidth="1"/>
    <col min="13576" max="13576" width="17" customWidth="1"/>
    <col min="13577" max="13577" width="17.88671875" customWidth="1"/>
    <col min="13578" max="13578" width="14.5546875" customWidth="1"/>
    <col min="13579" max="13579" width="15.109375" customWidth="1"/>
    <col min="13580" max="13580" width="17.109375" customWidth="1"/>
    <col min="13581" max="13581" width="15.6640625" customWidth="1"/>
    <col min="13582" max="13582" width="13.5546875" bestFit="1" customWidth="1"/>
    <col min="13827" max="13827" width="8.6640625" customWidth="1"/>
    <col min="13828" max="13828" width="53.44140625" customWidth="1"/>
    <col min="13829" max="13829" width="15.6640625" customWidth="1"/>
    <col min="13830" max="13830" width="15.88671875" customWidth="1"/>
    <col min="13831" max="13831" width="15.5546875" customWidth="1"/>
    <col min="13832" max="13832" width="17" customWidth="1"/>
    <col min="13833" max="13833" width="17.88671875" customWidth="1"/>
    <col min="13834" max="13834" width="14.5546875" customWidth="1"/>
    <col min="13835" max="13835" width="15.109375" customWidth="1"/>
    <col min="13836" max="13836" width="17.109375" customWidth="1"/>
    <col min="13837" max="13837" width="15.6640625" customWidth="1"/>
    <col min="13838" max="13838" width="13.5546875" bestFit="1" customWidth="1"/>
    <col min="14083" max="14083" width="8.6640625" customWidth="1"/>
    <col min="14084" max="14084" width="53.44140625" customWidth="1"/>
    <col min="14085" max="14085" width="15.6640625" customWidth="1"/>
    <col min="14086" max="14086" width="15.88671875" customWidth="1"/>
    <col min="14087" max="14087" width="15.5546875" customWidth="1"/>
    <col min="14088" max="14088" width="17" customWidth="1"/>
    <col min="14089" max="14089" width="17.88671875" customWidth="1"/>
    <col min="14090" max="14090" width="14.5546875" customWidth="1"/>
    <col min="14091" max="14091" width="15.109375" customWidth="1"/>
    <col min="14092" max="14092" width="17.109375" customWidth="1"/>
    <col min="14093" max="14093" width="15.6640625" customWidth="1"/>
    <col min="14094" max="14094" width="13.5546875" bestFit="1" customWidth="1"/>
    <col min="14339" max="14339" width="8.6640625" customWidth="1"/>
    <col min="14340" max="14340" width="53.44140625" customWidth="1"/>
    <col min="14341" max="14341" width="15.6640625" customWidth="1"/>
    <col min="14342" max="14342" width="15.88671875" customWidth="1"/>
    <col min="14343" max="14343" width="15.5546875" customWidth="1"/>
    <col min="14344" max="14344" width="17" customWidth="1"/>
    <col min="14345" max="14345" width="17.88671875" customWidth="1"/>
    <col min="14346" max="14346" width="14.5546875" customWidth="1"/>
    <col min="14347" max="14347" width="15.109375" customWidth="1"/>
    <col min="14348" max="14348" width="17.109375" customWidth="1"/>
    <col min="14349" max="14349" width="15.6640625" customWidth="1"/>
    <col min="14350" max="14350" width="13.5546875" bestFit="1" customWidth="1"/>
    <col min="14595" max="14595" width="8.6640625" customWidth="1"/>
    <col min="14596" max="14596" width="53.44140625" customWidth="1"/>
    <col min="14597" max="14597" width="15.6640625" customWidth="1"/>
    <col min="14598" max="14598" width="15.88671875" customWidth="1"/>
    <col min="14599" max="14599" width="15.5546875" customWidth="1"/>
    <col min="14600" max="14600" width="17" customWidth="1"/>
    <col min="14601" max="14601" width="17.88671875" customWidth="1"/>
    <col min="14602" max="14602" width="14.5546875" customWidth="1"/>
    <col min="14603" max="14603" width="15.109375" customWidth="1"/>
    <col min="14604" max="14604" width="17.109375" customWidth="1"/>
    <col min="14605" max="14605" width="15.6640625" customWidth="1"/>
    <col min="14606" max="14606" width="13.5546875" bestFit="1" customWidth="1"/>
    <col min="14851" max="14851" width="8.6640625" customWidth="1"/>
    <col min="14852" max="14852" width="53.44140625" customWidth="1"/>
    <col min="14853" max="14853" width="15.6640625" customWidth="1"/>
    <col min="14854" max="14854" width="15.88671875" customWidth="1"/>
    <col min="14855" max="14855" width="15.5546875" customWidth="1"/>
    <col min="14856" max="14856" width="17" customWidth="1"/>
    <col min="14857" max="14857" width="17.88671875" customWidth="1"/>
    <col min="14858" max="14858" width="14.5546875" customWidth="1"/>
    <col min="14859" max="14859" width="15.109375" customWidth="1"/>
    <col min="14860" max="14860" width="17.109375" customWidth="1"/>
    <col min="14861" max="14861" width="15.6640625" customWidth="1"/>
    <col min="14862" max="14862" width="13.5546875" bestFit="1" customWidth="1"/>
    <col min="15107" max="15107" width="8.6640625" customWidth="1"/>
    <col min="15108" max="15108" width="53.44140625" customWidth="1"/>
    <col min="15109" max="15109" width="15.6640625" customWidth="1"/>
    <col min="15110" max="15110" width="15.88671875" customWidth="1"/>
    <col min="15111" max="15111" width="15.5546875" customWidth="1"/>
    <col min="15112" max="15112" width="17" customWidth="1"/>
    <col min="15113" max="15113" width="17.88671875" customWidth="1"/>
    <col min="15114" max="15114" width="14.5546875" customWidth="1"/>
    <col min="15115" max="15115" width="15.109375" customWidth="1"/>
    <col min="15116" max="15116" width="17.109375" customWidth="1"/>
    <col min="15117" max="15117" width="15.6640625" customWidth="1"/>
    <col min="15118" max="15118" width="13.5546875" bestFit="1" customWidth="1"/>
    <col min="15363" max="15363" width="8.6640625" customWidth="1"/>
    <col min="15364" max="15364" width="53.44140625" customWidth="1"/>
    <col min="15365" max="15365" width="15.6640625" customWidth="1"/>
    <col min="15366" max="15366" width="15.88671875" customWidth="1"/>
    <col min="15367" max="15367" width="15.5546875" customWidth="1"/>
    <col min="15368" max="15368" width="17" customWidth="1"/>
    <col min="15369" max="15369" width="17.88671875" customWidth="1"/>
    <col min="15370" max="15370" width="14.5546875" customWidth="1"/>
    <col min="15371" max="15371" width="15.109375" customWidth="1"/>
    <col min="15372" max="15372" width="17.109375" customWidth="1"/>
    <col min="15373" max="15373" width="15.6640625" customWidth="1"/>
    <col min="15374" max="15374" width="13.5546875" bestFit="1" customWidth="1"/>
    <col min="15619" max="15619" width="8.6640625" customWidth="1"/>
    <col min="15620" max="15620" width="53.44140625" customWidth="1"/>
    <col min="15621" max="15621" width="15.6640625" customWidth="1"/>
    <col min="15622" max="15622" width="15.88671875" customWidth="1"/>
    <col min="15623" max="15623" width="15.5546875" customWidth="1"/>
    <col min="15624" max="15624" width="17" customWidth="1"/>
    <col min="15625" max="15625" width="17.88671875" customWidth="1"/>
    <col min="15626" max="15626" width="14.5546875" customWidth="1"/>
    <col min="15627" max="15627" width="15.109375" customWidth="1"/>
    <col min="15628" max="15628" width="17.109375" customWidth="1"/>
    <col min="15629" max="15629" width="15.6640625" customWidth="1"/>
    <col min="15630" max="15630" width="13.5546875" bestFit="1" customWidth="1"/>
    <col min="15875" max="15875" width="8.6640625" customWidth="1"/>
    <col min="15876" max="15876" width="53.44140625" customWidth="1"/>
    <col min="15877" max="15877" width="15.6640625" customWidth="1"/>
    <col min="15878" max="15878" width="15.88671875" customWidth="1"/>
    <col min="15879" max="15879" width="15.5546875" customWidth="1"/>
    <col min="15880" max="15880" width="17" customWidth="1"/>
    <col min="15881" max="15881" width="17.88671875" customWidth="1"/>
    <col min="15882" max="15882" width="14.5546875" customWidth="1"/>
    <col min="15883" max="15883" width="15.109375" customWidth="1"/>
    <col min="15884" max="15884" width="17.109375" customWidth="1"/>
    <col min="15885" max="15885" width="15.6640625" customWidth="1"/>
    <col min="15886" max="15886" width="13.5546875" bestFit="1" customWidth="1"/>
    <col min="16131" max="16131" width="8.6640625" customWidth="1"/>
    <col min="16132" max="16132" width="53.44140625" customWidth="1"/>
    <col min="16133" max="16133" width="15.6640625" customWidth="1"/>
    <col min="16134" max="16134" width="15.88671875" customWidth="1"/>
    <col min="16135" max="16135" width="15.5546875" customWidth="1"/>
    <col min="16136" max="16136" width="17" customWidth="1"/>
    <col min="16137" max="16137" width="17.88671875" customWidth="1"/>
    <col min="16138" max="16138" width="14.5546875" customWidth="1"/>
    <col min="16139" max="16139" width="15.109375" customWidth="1"/>
    <col min="16140" max="16140" width="17.109375" customWidth="1"/>
    <col min="16141" max="16141" width="15.6640625" customWidth="1"/>
    <col min="16142" max="16142" width="13.5546875" bestFit="1" customWidth="1"/>
  </cols>
  <sheetData>
    <row r="1" spans="1:13" ht="15.6" x14ac:dyDescent="0.3">
      <c r="G1" s="139"/>
      <c r="H1" s="139"/>
      <c r="I1" s="139"/>
      <c r="J1" s="139"/>
      <c r="K1" s="493" t="s">
        <v>668</v>
      </c>
      <c r="L1" s="493"/>
      <c r="M1" s="493"/>
    </row>
    <row r="2" spans="1:13" ht="15.6" x14ac:dyDescent="0.3">
      <c r="G2" s="139"/>
      <c r="H2" s="139"/>
      <c r="I2" s="139"/>
      <c r="J2" s="139"/>
      <c r="K2" s="493" t="s">
        <v>673</v>
      </c>
      <c r="L2" s="493"/>
      <c r="M2" s="493"/>
    </row>
    <row r="3" spans="1:13" ht="15.6" x14ac:dyDescent="0.3">
      <c r="K3" s="493" t="s">
        <v>595</v>
      </c>
      <c r="L3" s="493"/>
      <c r="M3" s="493"/>
    </row>
    <row r="4" spans="1:13" ht="15.6" x14ac:dyDescent="0.3">
      <c r="K4" s="493" t="s">
        <v>674</v>
      </c>
      <c r="L4" s="493"/>
      <c r="M4" s="493"/>
    </row>
    <row r="5" spans="1:13" ht="15.6" x14ac:dyDescent="0.3">
      <c r="K5" s="493" t="s">
        <v>924</v>
      </c>
      <c r="L5" s="493"/>
      <c r="M5" s="493"/>
    </row>
    <row r="7" spans="1:13" ht="16.8" x14ac:dyDescent="0.3">
      <c r="A7" s="478" t="s">
        <v>735</v>
      </c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8"/>
    </row>
    <row r="8" spans="1:13" ht="16.5" x14ac:dyDescent="0.25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ht="16.8" x14ac:dyDescent="0.3">
      <c r="A9" s="478" t="s">
        <v>675</v>
      </c>
      <c r="B9" s="478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</row>
    <row r="10" spans="1:13" ht="16.5" x14ac:dyDescent="0.25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</row>
    <row r="11" spans="1:13" s="1" customFormat="1" ht="15" customHeight="1" x14ac:dyDescent="0.3">
      <c r="A11" s="472" t="s">
        <v>670</v>
      </c>
      <c r="B11" s="472" t="s">
        <v>676</v>
      </c>
      <c r="C11" s="472" t="s">
        <v>677</v>
      </c>
      <c r="D11" s="472"/>
      <c r="E11" s="472"/>
      <c r="F11" s="472"/>
      <c r="G11" s="472"/>
      <c r="H11" s="472"/>
      <c r="I11" s="472"/>
      <c r="J11" s="472"/>
      <c r="K11" s="472"/>
      <c r="L11" s="472"/>
      <c r="M11" s="472"/>
    </row>
    <row r="12" spans="1:13" s="1" customFormat="1" ht="15" customHeight="1" x14ac:dyDescent="0.3">
      <c r="A12" s="472"/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</row>
    <row r="13" spans="1:13" s="1" customFormat="1" ht="15.6" x14ac:dyDescent="0.3">
      <c r="A13" s="472"/>
      <c r="B13" s="472"/>
      <c r="C13" s="473" t="s">
        <v>664</v>
      </c>
      <c r="D13" s="479" t="s">
        <v>116</v>
      </c>
      <c r="E13" s="480"/>
      <c r="F13" s="481"/>
      <c r="G13" s="473" t="s">
        <v>586</v>
      </c>
      <c r="H13" s="479" t="s">
        <v>116</v>
      </c>
      <c r="I13" s="480"/>
      <c r="J13" s="481"/>
      <c r="K13" s="473" t="s">
        <v>665</v>
      </c>
      <c r="L13" s="479" t="s">
        <v>116</v>
      </c>
      <c r="M13" s="481"/>
    </row>
    <row r="14" spans="1:13" s="1" customFormat="1" ht="46.8" x14ac:dyDescent="0.3">
      <c r="A14" s="472"/>
      <c r="B14" s="472"/>
      <c r="C14" s="474"/>
      <c r="D14" s="151" t="s">
        <v>678</v>
      </c>
      <c r="E14" s="153" t="s">
        <v>671</v>
      </c>
      <c r="F14" s="153" t="s">
        <v>672</v>
      </c>
      <c r="G14" s="474"/>
      <c r="H14" s="151" t="s">
        <v>678</v>
      </c>
      <c r="I14" s="153" t="s">
        <v>671</v>
      </c>
      <c r="J14" s="153" t="s">
        <v>672</v>
      </c>
      <c r="K14" s="474"/>
      <c r="L14" s="153" t="s">
        <v>671</v>
      </c>
      <c r="M14" s="153" t="s">
        <v>672</v>
      </c>
    </row>
    <row r="15" spans="1:13" s="1" customFormat="1" ht="15.6" x14ac:dyDescent="0.3">
      <c r="A15" s="154" t="s">
        <v>679</v>
      </c>
      <c r="B15" s="155" t="s">
        <v>680</v>
      </c>
      <c r="C15" s="156">
        <f t="shared" ref="C15:M15" si="0">SUM(C17:C20)</f>
        <v>127400.46888</v>
      </c>
      <c r="D15" s="156">
        <f t="shared" si="0"/>
        <v>47403.956680000003</v>
      </c>
      <c r="E15" s="156">
        <f t="shared" si="0"/>
        <v>28622.04507</v>
      </c>
      <c r="F15" s="156">
        <f t="shared" si="0"/>
        <v>51374.467130000005</v>
      </c>
      <c r="G15" s="156">
        <f t="shared" si="0"/>
        <v>63062.612070000003</v>
      </c>
      <c r="H15" s="156">
        <f t="shared" si="0"/>
        <v>0</v>
      </c>
      <c r="I15" s="156">
        <f t="shared" si="0"/>
        <v>24383</v>
      </c>
      <c r="J15" s="156">
        <f t="shared" si="0"/>
        <v>38679.612070000003</v>
      </c>
      <c r="K15" s="156">
        <f t="shared" si="0"/>
        <v>59618.9</v>
      </c>
      <c r="L15" s="156">
        <f t="shared" si="0"/>
        <v>24383</v>
      </c>
      <c r="M15" s="156">
        <f t="shared" si="0"/>
        <v>35235.9</v>
      </c>
    </row>
    <row r="16" spans="1:13" s="1" customFormat="1" ht="16.8" x14ac:dyDescent="0.3">
      <c r="A16" s="154"/>
      <c r="B16" s="155" t="s">
        <v>681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8"/>
    </row>
    <row r="17" spans="1:18" s="1" customFormat="1" ht="81.75" customHeight="1" x14ac:dyDescent="0.3">
      <c r="A17" s="154" t="s">
        <v>682</v>
      </c>
      <c r="B17" s="159" t="s">
        <v>683</v>
      </c>
      <c r="C17" s="160">
        <f>SUM(E17:F17)</f>
        <v>24666.799999999999</v>
      </c>
      <c r="D17" s="161">
        <v>0</v>
      </c>
      <c r="E17" s="158">
        <v>0</v>
      </c>
      <c r="F17" s="161">
        <v>24666.799999999999</v>
      </c>
      <c r="G17" s="160">
        <f>SUM(I17:J17)</f>
        <v>25466.2</v>
      </c>
      <c r="H17" s="161">
        <v>0</v>
      </c>
      <c r="I17" s="158">
        <v>0</v>
      </c>
      <c r="J17" s="161">
        <v>25466.2</v>
      </c>
      <c r="K17" s="156">
        <f>SUM(L17:M17)</f>
        <v>25923.4</v>
      </c>
      <c r="L17" s="162">
        <f>I17-E17</f>
        <v>0</v>
      </c>
      <c r="M17" s="162">
        <v>25923.4</v>
      </c>
    </row>
    <row r="18" spans="1:18" s="1" customFormat="1" ht="73.5" customHeight="1" x14ac:dyDescent="0.3">
      <c r="A18" s="154" t="s">
        <v>684</v>
      </c>
      <c r="B18" s="159" t="s">
        <v>685</v>
      </c>
      <c r="C18" s="160">
        <f>SUM(E18:F18)</f>
        <v>26127.1</v>
      </c>
      <c r="D18" s="161">
        <v>0</v>
      </c>
      <c r="E18" s="161">
        <v>26127.1</v>
      </c>
      <c r="F18" s="161">
        <v>0</v>
      </c>
      <c r="G18" s="160">
        <f>SUM(I18:J18)</f>
        <v>24383</v>
      </c>
      <c r="H18" s="161">
        <v>0</v>
      </c>
      <c r="I18" s="158">
        <v>24383</v>
      </c>
      <c r="J18" s="158">
        <v>0</v>
      </c>
      <c r="K18" s="156">
        <f>SUM(L18:M18)</f>
        <v>24383</v>
      </c>
      <c r="L18" s="158">
        <v>24383</v>
      </c>
      <c r="M18" s="162">
        <f>J18-F18</f>
        <v>0</v>
      </c>
      <c r="P18" s="208"/>
      <c r="Q18" s="208"/>
      <c r="R18" s="208"/>
    </row>
    <row r="19" spans="1:18" s="1" customFormat="1" ht="55.5" customHeight="1" x14ac:dyDescent="0.3">
      <c r="A19" s="154" t="s">
        <v>686</v>
      </c>
      <c r="B19" s="159" t="s">
        <v>666</v>
      </c>
      <c r="C19" s="160">
        <f>SUM(D19:F19)</f>
        <v>49898.901750000005</v>
      </c>
      <c r="D19" s="161">
        <v>47403.956680000003</v>
      </c>
      <c r="E19" s="161">
        <v>2494.9450700000002</v>
      </c>
      <c r="F19" s="161">
        <v>0</v>
      </c>
      <c r="G19" s="160">
        <f>SUM(H19:J19)</f>
        <v>0</v>
      </c>
      <c r="H19" s="161">
        <v>0</v>
      </c>
      <c r="I19" s="161">
        <v>0</v>
      </c>
      <c r="J19" s="161">
        <v>0</v>
      </c>
      <c r="K19" s="156">
        <f>SUM(L19:M19)</f>
        <v>0</v>
      </c>
      <c r="L19" s="162">
        <v>0</v>
      </c>
      <c r="M19" s="162">
        <v>0</v>
      </c>
    </row>
    <row r="20" spans="1:18" s="1" customFormat="1" ht="24" customHeight="1" x14ac:dyDescent="0.3">
      <c r="A20" s="154" t="s">
        <v>687</v>
      </c>
      <c r="B20" s="159" t="s">
        <v>688</v>
      </c>
      <c r="C20" s="160">
        <f>F20</f>
        <v>26707.667130000002</v>
      </c>
      <c r="D20" s="160">
        <v>0</v>
      </c>
      <c r="E20" s="161">
        <v>0</v>
      </c>
      <c r="F20" s="161">
        <f>26693.05942-18.09229+32.7</f>
        <v>26707.667130000002</v>
      </c>
      <c r="G20" s="160">
        <f>SUM(I20:J20)</f>
        <v>13213.412070000002</v>
      </c>
      <c r="H20" s="160">
        <v>0</v>
      </c>
      <c r="I20" s="161">
        <v>0</v>
      </c>
      <c r="J20" s="161">
        <f>J28-J17</f>
        <v>13213.412070000002</v>
      </c>
      <c r="K20" s="156">
        <f>SUM(L20:M20)</f>
        <v>9312.5</v>
      </c>
      <c r="L20" s="162">
        <f>I20-E20</f>
        <v>0</v>
      </c>
      <c r="M20" s="161">
        <f>M28-M17</f>
        <v>9312.5</v>
      </c>
    </row>
    <row r="21" spans="1:18" s="1" customFormat="1" ht="15.75" x14ac:dyDescent="0.25">
      <c r="A21" s="163"/>
      <c r="B21" s="164"/>
      <c r="C21" s="165"/>
      <c r="D21" s="165"/>
      <c r="E21" s="166"/>
      <c r="F21" s="166"/>
      <c r="G21" s="165"/>
      <c r="H21" s="165"/>
      <c r="I21" s="166"/>
      <c r="J21" s="166"/>
      <c r="K21" s="167"/>
      <c r="L21" s="168"/>
      <c r="M21" s="168"/>
    </row>
    <row r="22" spans="1:18" s="1" customFormat="1" ht="15.6" x14ac:dyDescent="0.3">
      <c r="A22" s="471" t="s">
        <v>689</v>
      </c>
      <c r="B22" s="471"/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</row>
    <row r="23" spans="1:18" ht="16.5" x14ac:dyDescent="0.25">
      <c r="A23" s="169"/>
      <c r="B23" s="169"/>
      <c r="C23" s="152"/>
      <c r="D23" s="152"/>
      <c r="E23" s="152"/>
      <c r="F23" s="152"/>
      <c r="G23" s="152"/>
      <c r="H23" s="152"/>
      <c r="I23" s="152"/>
      <c r="J23" s="152"/>
    </row>
    <row r="24" spans="1:18" x14ac:dyDescent="0.3">
      <c r="A24" s="472" t="s">
        <v>670</v>
      </c>
      <c r="B24" s="472" t="s">
        <v>690</v>
      </c>
      <c r="C24" s="472" t="s">
        <v>677</v>
      </c>
      <c r="D24" s="472"/>
      <c r="E24" s="472"/>
      <c r="F24" s="472"/>
      <c r="G24" s="472"/>
      <c r="H24" s="472"/>
      <c r="I24" s="472"/>
      <c r="J24" s="472"/>
      <c r="K24" s="472"/>
      <c r="L24" s="472"/>
      <c r="M24" s="472"/>
    </row>
    <row r="25" spans="1:18" x14ac:dyDescent="0.3">
      <c r="A25" s="472"/>
      <c r="B25" s="472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</row>
    <row r="26" spans="1:18" ht="15.6" x14ac:dyDescent="0.3">
      <c r="A26" s="472"/>
      <c r="B26" s="472"/>
      <c r="C26" s="473" t="s">
        <v>664</v>
      </c>
      <c r="D26" s="475" t="s">
        <v>116</v>
      </c>
      <c r="E26" s="476"/>
      <c r="F26" s="477"/>
      <c r="G26" s="473" t="s">
        <v>586</v>
      </c>
      <c r="H26" s="475" t="s">
        <v>116</v>
      </c>
      <c r="I26" s="476"/>
      <c r="J26" s="477"/>
      <c r="K26" s="473" t="s">
        <v>665</v>
      </c>
      <c r="L26" s="476" t="s">
        <v>116</v>
      </c>
      <c r="M26" s="477"/>
    </row>
    <row r="27" spans="1:18" ht="46.8" x14ac:dyDescent="0.3">
      <c r="A27" s="472"/>
      <c r="B27" s="472"/>
      <c r="C27" s="474"/>
      <c r="D27" s="151" t="s">
        <v>678</v>
      </c>
      <c r="E27" s="153" t="s">
        <v>671</v>
      </c>
      <c r="F27" s="153" t="s">
        <v>672</v>
      </c>
      <c r="G27" s="474"/>
      <c r="H27" s="151" t="s">
        <v>678</v>
      </c>
      <c r="I27" s="153" t="s">
        <v>671</v>
      </c>
      <c r="J27" s="153" t="s">
        <v>672</v>
      </c>
      <c r="K27" s="474"/>
      <c r="L27" s="153" t="s">
        <v>671</v>
      </c>
      <c r="M27" s="153" t="s">
        <v>672</v>
      </c>
    </row>
    <row r="28" spans="1:18" ht="48" customHeight="1" x14ac:dyDescent="0.3">
      <c r="A28" s="247" t="s">
        <v>679</v>
      </c>
      <c r="B28" s="248" t="s">
        <v>691</v>
      </c>
      <c r="C28" s="249">
        <f t="shared" ref="C28:M28" si="1">C29+C94</f>
        <v>127400.46888</v>
      </c>
      <c r="D28" s="249">
        <f t="shared" si="1"/>
        <v>47403.956680000003</v>
      </c>
      <c r="E28" s="249">
        <f t="shared" si="1"/>
        <v>28622.04507</v>
      </c>
      <c r="F28" s="249">
        <f t="shared" si="1"/>
        <v>51374.467130000005</v>
      </c>
      <c r="G28" s="249">
        <f t="shared" si="1"/>
        <v>63062.612069999996</v>
      </c>
      <c r="H28" s="249">
        <f t="shared" si="1"/>
        <v>0</v>
      </c>
      <c r="I28" s="249">
        <f t="shared" si="1"/>
        <v>24383</v>
      </c>
      <c r="J28" s="249">
        <f t="shared" si="1"/>
        <v>38679.612070000003</v>
      </c>
      <c r="K28" s="249">
        <f t="shared" si="1"/>
        <v>59618.9</v>
      </c>
      <c r="L28" s="249">
        <f t="shared" si="1"/>
        <v>24383</v>
      </c>
      <c r="M28" s="249">
        <f t="shared" si="1"/>
        <v>35235.9</v>
      </c>
    </row>
    <row r="29" spans="1:18" s="170" customFormat="1" ht="31.2" x14ac:dyDescent="0.3">
      <c r="A29" s="250" t="s">
        <v>682</v>
      </c>
      <c r="B29" s="251" t="s">
        <v>692</v>
      </c>
      <c r="C29" s="252">
        <f>C30+C35+C90+C92+C33</f>
        <v>126469.56888000001</v>
      </c>
      <c r="D29" s="252">
        <f>D30+D35+D90+D92</f>
        <v>47403.956680000003</v>
      </c>
      <c r="E29" s="252">
        <f>E30+E35+E90+E92</f>
        <v>28622.04507</v>
      </c>
      <c r="F29" s="252">
        <f>F30+F35+F90+F92+F33</f>
        <v>50443.567130000003</v>
      </c>
      <c r="G29" s="252">
        <f t="shared" ref="G29:M29" si="2">G30+G35+G90+G92</f>
        <v>62762.212069999994</v>
      </c>
      <c r="H29" s="252">
        <f t="shared" si="2"/>
        <v>0</v>
      </c>
      <c r="I29" s="252">
        <f t="shared" si="2"/>
        <v>24383</v>
      </c>
      <c r="J29" s="252">
        <f t="shared" si="2"/>
        <v>38379.212070000001</v>
      </c>
      <c r="K29" s="252">
        <f t="shared" si="2"/>
        <v>59618.9</v>
      </c>
      <c r="L29" s="252">
        <f t="shared" si="2"/>
        <v>24383</v>
      </c>
      <c r="M29" s="252">
        <f t="shared" si="2"/>
        <v>35235.9</v>
      </c>
    </row>
    <row r="30" spans="1:18" s="171" customFormat="1" ht="46.8" x14ac:dyDescent="0.3">
      <c r="A30" s="254" t="s">
        <v>693</v>
      </c>
      <c r="B30" s="457" t="s">
        <v>922</v>
      </c>
      <c r="C30" s="256">
        <f>C31+C32</f>
        <v>542.79999999999995</v>
      </c>
      <c r="D30" s="256">
        <f t="shared" ref="D30:M30" si="3">D31+D32</f>
        <v>0</v>
      </c>
      <c r="E30" s="256">
        <f t="shared" si="3"/>
        <v>0</v>
      </c>
      <c r="F30" s="256">
        <f t="shared" si="3"/>
        <v>542.79999999999995</v>
      </c>
      <c r="G30" s="256">
        <f t="shared" si="3"/>
        <v>542.79999999999995</v>
      </c>
      <c r="H30" s="256">
        <f t="shared" si="3"/>
        <v>0</v>
      </c>
      <c r="I30" s="256">
        <f t="shared" si="3"/>
        <v>0</v>
      </c>
      <c r="J30" s="256">
        <f t="shared" si="3"/>
        <v>542.79999999999995</v>
      </c>
      <c r="K30" s="256">
        <f t="shared" si="3"/>
        <v>542.79999999999995</v>
      </c>
      <c r="L30" s="256">
        <f t="shared" si="3"/>
        <v>0</v>
      </c>
      <c r="M30" s="256">
        <f t="shared" si="3"/>
        <v>542.79999999999995</v>
      </c>
    </row>
    <row r="31" spans="1:18" s="175" customFormat="1" ht="31.2" x14ac:dyDescent="0.3">
      <c r="A31" s="172"/>
      <c r="B31" s="173" t="s">
        <v>694</v>
      </c>
      <c r="C31" s="174">
        <f>F31</f>
        <v>3.2999999999999545</v>
      </c>
      <c r="D31" s="174">
        <v>0</v>
      </c>
      <c r="E31" s="174">
        <v>0</v>
      </c>
      <c r="F31" s="174">
        <f>542.8-539.5</f>
        <v>3.2999999999999545</v>
      </c>
      <c r="G31" s="174">
        <f>J31</f>
        <v>542.79999999999995</v>
      </c>
      <c r="H31" s="174">
        <v>0</v>
      </c>
      <c r="I31" s="174">
        <v>0</v>
      </c>
      <c r="J31" s="174">
        <v>542.79999999999995</v>
      </c>
      <c r="K31" s="174">
        <f>M31</f>
        <v>542.79999999999995</v>
      </c>
      <c r="L31" s="174">
        <v>0</v>
      </c>
      <c r="M31" s="174">
        <v>542.79999999999995</v>
      </c>
    </row>
    <row r="32" spans="1:18" s="175" customFormat="1" ht="31.2" x14ac:dyDescent="0.3">
      <c r="A32" s="455"/>
      <c r="B32" s="458" t="s">
        <v>919</v>
      </c>
      <c r="C32" s="174">
        <f>F32</f>
        <v>539.5</v>
      </c>
      <c r="D32" s="456">
        <v>0</v>
      </c>
      <c r="E32" s="456">
        <v>0</v>
      </c>
      <c r="F32" s="456">
        <v>539.5</v>
      </c>
      <c r="G32" s="456">
        <v>0</v>
      </c>
      <c r="H32" s="456">
        <v>0</v>
      </c>
      <c r="I32" s="456">
        <v>0</v>
      </c>
      <c r="J32" s="456">
        <v>0</v>
      </c>
      <c r="K32" s="456">
        <v>0</v>
      </c>
      <c r="L32" s="456">
        <v>0</v>
      </c>
      <c r="M32" s="456">
        <v>0</v>
      </c>
    </row>
    <row r="33" spans="1:13" s="175" customFormat="1" ht="35.25" customHeight="1" x14ac:dyDescent="0.3">
      <c r="A33" s="254" t="s">
        <v>695</v>
      </c>
      <c r="B33" s="255" t="s">
        <v>756</v>
      </c>
      <c r="C33" s="256">
        <f>C34</f>
        <v>285</v>
      </c>
      <c r="D33" s="256">
        <v>0</v>
      </c>
      <c r="E33" s="256">
        <v>0</v>
      </c>
      <c r="F33" s="256">
        <f>F34</f>
        <v>285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</row>
    <row r="34" spans="1:13" s="175" customFormat="1" ht="46.8" x14ac:dyDescent="0.3">
      <c r="A34" s="172"/>
      <c r="B34" s="173" t="s">
        <v>757</v>
      </c>
      <c r="C34" s="174">
        <f>F34</f>
        <v>285</v>
      </c>
      <c r="D34" s="174">
        <v>0</v>
      </c>
      <c r="E34" s="174">
        <v>0</v>
      </c>
      <c r="F34" s="174">
        <v>285</v>
      </c>
      <c r="G34" s="174">
        <v>0</v>
      </c>
      <c r="H34" s="174">
        <v>0</v>
      </c>
      <c r="I34" s="174">
        <v>0</v>
      </c>
      <c r="J34" s="174">
        <v>0</v>
      </c>
      <c r="K34" s="174">
        <v>0</v>
      </c>
      <c r="L34" s="174">
        <v>0</v>
      </c>
      <c r="M34" s="174">
        <v>0</v>
      </c>
    </row>
    <row r="35" spans="1:13" s="171" customFormat="1" ht="31.2" x14ac:dyDescent="0.3">
      <c r="A35" s="254" t="s">
        <v>700</v>
      </c>
      <c r="B35" s="257" t="s">
        <v>696</v>
      </c>
      <c r="C35" s="256">
        <f>C36+C70+C51</f>
        <v>43526.311170000001</v>
      </c>
      <c r="D35" s="256">
        <v>0</v>
      </c>
      <c r="E35" s="256">
        <f>E36+E70+E51</f>
        <v>26127.1</v>
      </c>
      <c r="F35" s="256">
        <f>F36+F70+F51</f>
        <v>17399.211170000002</v>
      </c>
      <c r="G35" s="256">
        <f>G36+G70+G51</f>
        <v>28780.5</v>
      </c>
      <c r="H35" s="256">
        <v>0</v>
      </c>
      <c r="I35" s="256">
        <f>I36+I70+I51</f>
        <v>24383</v>
      </c>
      <c r="J35" s="256">
        <f>J36+J70+J51</f>
        <v>4397.5</v>
      </c>
      <c r="K35" s="256">
        <f>K36+K70+K51</f>
        <v>27092.2</v>
      </c>
      <c r="L35" s="256">
        <f>L36+L70+L51</f>
        <v>24383</v>
      </c>
      <c r="M35" s="256">
        <f>M36+M70+M51</f>
        <v>2709.2</v>
      </c>
    </row>
    <row r="36" spans="1:13" s="219" customFormat="1" ht="31.2" x14ac:dyDescent="0.3">
      <c r="A36" s="216"/>
      <c r="B36" s="217" t="s">
        <v>697</v>
      </c>
      <c r="C36" s="218">
        <f>E36+F36</f>
        <v>29030.11117</v>
      </c>
      <c r="D36" s="218">
        <v>0</v>
      </c>
      <c r="E36" s="218">
        <v>26127.1</v>
      </c>
      <c r="F36" s="218">
        <v>2903.0111700000002</v>
      </c>
      <c r="G36" s="218">
        <f>SUM(I36+J36)</f>
        <v>27092.2</v>
      </c>
      <c r="H36" s="218">
        <v>0</v>
      </c>
      <c r="I36" s="218">
        <v>24383</v>
      </c>
      <c r="J36" s="218">
        <v>2709.2</v>
      </c>
      <c r="K36" s="218">
        <f>SUM(L36+M36)</f>
        <v>27092.2</v>
      </c>
      <c r="L36" s="218">
        <v>24383</v>
      </c>
      <c r="M36" s="218">
        <v>2709.2</v>
      </c>
    </row>
    <row r="37" spans="1:13" s="219" customFormat="1" ht="15.6" x14ac:dyDescent="0.3">
      <c r="A37" s="216"/>
      <c r="B37" s="221" t="s">
        <v>805</v>
      </c>
      <c r="C37" s="213">
        <v>0</v>
      </c>
      <c r="D37" s="213">
        <v>0</v>
      </c>
      <c r="E37" s="222">
        <v>0</v>
      </c>
      <c r="F37" s="213">
        <v>0</v>
      </c>
      <c r="G37" s="213">
        <f>SUM(I37+J37)</f>
        <v>27092.2</v>
      </c>
      <c r="H37" s="213">
        <v>0</v>
      </c>
      <c r="I37" s="213">
        <v>24383</v>
      </c>
      <c r="J37" s="213">
        <v>2709.2</v>
      </c>
      <c r="K37" s="213">
        <f>SUM(L37+M37)</f>
        <v>27092.2</v>
      </c>
      <c r="L37" s="213">
        <v>24383</v>
      </c>
      <c r="M37" s="213">
        <v>2709.2</v>
      </c>
    </row>
    <row r="38" spans="1:13" s="175" customFormat="1" ht="31.2" x14ac:dyDescent="0.3">
      <c r="A38" s="172"/>
      <c r="B38" s="212" t="s">
        <v>765</v>
      </c>
      <c r="C38" s="213">
        <f>D38+E38+F38</f>
        <v>3710.7764000000002</v>
      </c>
      <c r="D38" s="213">
        <v>0</v>
      </c>
      <c r="E38" s="215">
        <v>3339.6987600000002</v>
      </c>
      <c r="F38" s="215">
        <v>371.07763999999997</v>
      </c>
      <c r="G38" s="174">
        <v>0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</row>
    <row r="39" spans="1:13" s="175" customFormat="1" ht="31.2" x14ac:dyDescent="0.3">
      <c r="A39" s="172"/>
      <c r="B39" s="261" t="s">
        <v>766</v>
      </c>
      <c r="C39" s="213">
        <f t="shared" ref="C39:C50" si="4">D39+E39+F39</f>
        <v>6989.3533900000002</v>
      </c>
      <c r="D39" s="213">
        <v>0</v>
      </c>
      <c r="E39" s="213">
        <v>6290.4180500000002</v>
      </c>
      <c r="F39" s="213">
        <v>698.93534</v>
      </c>
      <c r="G39" s="174">
        <v>0</v>
      </c>
      <c r="H39" s="174">
        <v>0</v>
      </c>
      <c r="I39" s="174">
        <v>0</v>
      </c>
      <c r="J39" s="174">
        <v>0</v>
      </c>
      <c r="K39" s="174">
        <v>0</v>
      </c>
      <c r="L39" s="174">
        <v>0</v>
      </c>
      <c r="M39" s="174">
        <v>0</v>
      </c>
    </row>
    <row r="40" spans="1:13" s="175" customFormat="1" ht="15.6" x14ac:dyDescent="0.3">
      <c r="A40" s="172"/>
      <c r="B40" s="261" t="s">
        <v>767</v>
      </c>
      <c r="C40" s="213">
        <f t="shared" si="4"/>
        <v>4928.31466</v>
      </c>
      <c r="D40" s="213">
        <v>0</v>
      </c>
      <c r="E40" s="213">
        <v>4435.4831899999999</v>
      </c>
      <c r="F40" s="213">
        <v>492.83147000000002</v>
      </c>
      <c r="G40" s="174">
        <v>0</v>
      </c>
      <c r="H40" s="174">
        <v>0</v>
      </c>
      <c r="I40" s="174">
        <v>0</v>
      </c>
      <c r="J40" s="174">
        <v>0</v>
      </c>
      <c r="K40" s="174">
        <v>0</v>
      </c>
      <c r="L40" s="174">
        <v>0</v>
      </c>
      <c r="M40" s="174">
        <v>0</v>
      </c>
    </row>
    <row r="41" spans="1:13" s="175" customFormat="1" ht="36" x14ac:dyDescent="0.35">
      <c r="A41" s="172"/>
      <c r="B41" s="262" t="s">
        <v>768</v>
      </c>
      <c r="C41" s="213">
        <f t="shared" si="4"/>
        <v>600</v>
      </c>
      <c r="D41" s="213">
        <v>0</v>
      </c>
      <c r="E41" s="213">
        <v>540</v>
      </c>
      <c r="F41" s="213">
        <v>60</v>
      </c>
      <c r="G41" s="174">
        <v>0</v>
      </c>
      <c r="H41" s="174">
        <v>0</v>
      </c>
      <c r="I41" s="174">
        <v>0</v>
      </c>
      <c r="J41" s="174">
        <v>0</v>
      </c>
      <c r="K41" s="174">
        <v>0</v>
      </c>
      <c r="L41" s="174">
        <v>0</v>
      </c>
      <c r="M41" s="174">
        <v>0</v>
      </c>
    </row>
    <row r="42" spans="1:13" s="175" customFormat="1" ht="15.6" x14ac:dyDescent="0.3">
      <c r="A42" s="172"/>
      <c r="B42" s="261" t="s">
        <v>769</v>
      </c>
      <c r="C42" s="213">
        <f t="shared" si="4"/>
        <v>878.83150999999998</v>
      </c>
      <c r="D42" s="213">
        <v>0</v>
      </c>
      <c r="E42" s="213">
        <v>790.94835</v>
      </c>
      <c r="F42" s="213">
        <v>87.883160000000004</v>
      </c>
      <c r="G42" s="174">
        <v>0</v>
      </c>
      <c r="H42" s="174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</row>
    <row r="43" spans="1:13" s="175" customFormat="1" ht="15.6" x14ac:dyDescent="0.3">
      <c r="A43" s="172"/>
      <c r="B43" s="261" t="s">
        <v>770</v>
      </c>
      <c r="C43" s="213">
        <f t="shared" si="4"/>
        <v>792.48118999999997</v>
      </c>
      <c r="D43" s="213">
        <v>0</v>
      </c>
      <c r="E43" s="213">
        <v>713.23307</v>
      </c>
      <c r="F43" s="213">
        <v>79.24812</v>
      </c>
      <c r="G43" s="174">
        <v>0</v>
      </c>
      <c r="H43" s="174">
        <v>0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</row>
    <row r="44" spans="1:13" s="175" customFormat="1" ht="31.2" x14ac:dyDescent="0.3">
      <c r="A44" s="172"/>
      <c r="B44" s="261" t="s">
        <v>771</v>
      </c>
      <c r="C44" s="213">
        <f t="shared" si="4"/>
        <v>950.31331</v>
      </c>
      <c r="D44" s="213">
        <v>0</v>
      </c>
      <c r="E44" s="213">
        <v>855.28197</v>
      </c>
      <c r="F44" s="213">
        <v>95.03134</v>
      </c>
      <c r="G44" s="174">
        <v>0</v>
      </c>
      <c r="H44" s="174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</row>
    <row r="45" spans="1:13" s="175" customFormat="1" ht="15.6" x14ac:dyDescent="0.3">
      <c r="A45" s="172"/>
      <c r="B45" s="261" t="s">
        <v>772</v>
      </c>
      <c r="C45" s="213">
        <f t="shared" si="4"/>
        <v>1749.8029199999999</v>
      </c>
      <c r="D45" s="213">
        <v>0</v>
      </c>
      <c r="E45" s="213">
        <v>1574.8226199999999</v>
      </c>
      <c r="F45" s="213">
        <v>174.9803</v>
      </c>
      <c r="G45" s="174">
        <v>0</v>
      </c>
      <c r="H45" s="174">
        <v>0</v>
      </c>
      <c r="I45" s="174">
        <v>0</v>
      </c>
      <c r="J45" s="174">
        <v>0</v>
      </c>
      <c r="K45" s="174">
        <v>0</v>
      </c>
      <c r="L45" s="174">
        <v>0</v>
      </c>
      <c r="M45" s="174">
        <v>0</v>
      </c>
    </row>
    <row r="46" spans="1:13" s="175" customFormat="1" ht="31.2" x14ac:dyDescent="0.3">
      <c r="A46" s="172"/>
      <c r="B46" s="261" t="s">
        <v>773</v>
      </c>
      <c r="C46" s="213">
        <f t="shared" si="4"/>
        <v>3779.9084600000001</v>
      </c>
      <c r="D46" s="213">
        <v>0</v>
      </c>
      <c r="E46" s="213">
        <v>3401.91761</v>
      </c>
      <c r="F46" s="213">
        <v>377.99085000000002</v>
      </c>
      <c r="G46" s="174">
        <v>0</v>
      </c>
      <c r="H46" s="174">
        <v>0</v>
      </c>
      <c r="I46" s="174">
        <v>0</v>
      </c>
      <c r="J46" s="174">
        <v>0</v>
      </c>
      <c r="K46" s="174">
        <v>0</v>
      </c>
      <c r="L46" s="174">
        <v>0</v>
      </c>
      <c r="M46" s="174">
        <v>0</v>
      </c>
    </row>
    <row r="47" spans="1:13" s="175" customFormat="1" ht="15.6" x14ac:dyDescent="0.3">
      <c r="A47" s="172"/>
      <c r="B47" s="261" t="s">
        <v>774</v>
      </c>
      <c r="C47" s="213">
        <f t="shared" si="4"/>
        <v>1543.22019</v>
      </c>
      <c r="D47" s="213">
        <v>0</v>
      </c>
      <c r="E47" s="213">
        <v>1388.8981699999999</v>
      </c>
      <c r="F47" s="213">
        <v>154.32202000000001</v>
      </c>
      <c r="G47" s="174">
        <v>0</v>
      </c>
      <c r="H47" s="174">
        <v>0</v>
      </c>
      <c r="I47" s="174">
        <v>0</v>
      </c>
      <c r="J47" s="174">
        <v>0</v>
      </c>
      <c r="K47" s="174">
        <v>0</v>
      </c>
      <c r="L47" s="174">
        <v>0</v>
      </c>
      <c r="M47" s="174">
        <v>0</v>
      </c>
    </row>
    <row r="48" spans="1:13" s="175" customFormat="1" ht="31.2" x14ac:dyDescent="0.3">
      <c r="A48" s="172"/>
      <c r="B48" s="261" t="s">
        <v>775</v>
      </c>
      <c r="C48" s="213">
        <f t="shared" si="4"/>
        <v>1146.4693100000002</v>
      </c>
      <c r="D48" s="213">
        <v>0</v>
      </c>
      <c r="E48" s="213">
        <v>1031.8223700000001</v>
      </c>
      <c r="F48" s="213">
        <v>114.64694</v>
      </c>
      <c r="G48" s="174">
        <v>0</v>
      </c>
      <c r="H48" s="174">
        <v>0</v>
      </c>
      <c r="I48" s="174">
        <v>0</v>
      </c>
      <c r="J48" s="174">
        <v>0</v>
      </c>
      <c r="K48" s="174">
        <v>0</v>
      </c>
      <c r="L48" s="174">
        <v>0</v>
      </c>
      <c r="M48" s="174">
        <v>0</v>
      </c>
    </row>
    <row r="49" spans="1:16" s="175" customFormat="1" ht="31.2" x14ac:dyDescent="0.3">
      <c r="A49" s="172"/>
      <c r="B49" s="261" t="s">
        <v>776</v>
      </c>
      <c r="C49" s="213">
        <f t="shared" si="4"/>
        <v>1115.93164</v>
      </c>
      <c r="D49" s="213">
        <v>0</v>
      </c>
      <c r="E49" s="213">
        <v>1004.33847</v>
      </c>
      <c r="F49" s="213">
        <v>111.59317</v>
      </c>
      <c r="G49" s="174">
        <v>0</v>
      </c>
      <c r="H49" s="174">
        <v>0</v>
      </c>
      <c r="I49" s="174">
        <v>0</v>
      </c>
      <c r="J49" s="174">
        <v>0</v>
      </c>
      <c r="K49" s="174">
        <v>0</v>
      </c>
      <c r="L49" s="174">
        <v>0</v>
      </c>
      <c r="M49" s="174">
        <v>0</v>
      </c>
    </row>
    <row r="50" spans="1:16" s="175" customFormat="1" ht="31.2" x14ac:dyDescent="0.3">
      <c r="A50" s="172"/>
      <c r="B50" s="261" t="s">
        <v>777</v>
      </c>
      <c r="C50" s="213">
        <f t="shared" si="4"/>
        <v>844.70819000000006</v>
      </c>
      <c r="D50" s="213">
        <v>0</v>
      </c>
      <c r="E50" s="213">
        <v>760.23737000000006</v>
      </c>
      <c r="F50" s="213">
        <v>84.470820000000003</v>
      </c>
      <c r="G50" s="174">
        <v>0</v>
      </c>
      <c r="H50" s="174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</row>
    <row r="51" spans="1:16" s="219" customFormat="1" ht="31.2" x14ac:dyDescent="0.3">
      <c r="A51" s="216"/>
      <c r="B51" s="217" t="s">
        <v>698</v>
      </c>
      <c r="C51" s="218">
        <f>E51+F51</f>
        <v>4858.5</v>
      </c>
      <c r="D51" s="218">
        <v>0</v>
      </c>
      <c r="E51" s="218">
        <v>0</v>
      </c>
      <c r="F51" s="218">
        <f>SUM(F52:F66)</f>
        <v>4858.5</v>
      </c>
      <c r="G51" s="218">
        <f>G67+G68+G69</f>
        <v>1688.3</v>
      </c>
      <c r="H51" s="218">
        <v>0</v>
      </c>
      <c r="I51" s="218">
        <v>0</v>
      </c>
      <c r="J51" s="218">
        <f>J67+J68+J69</f>
        <v>1688.3</v>
      </c>
      <c r="K51" s="218">
        <v>0</v>
      </c>
      <c r="L51" s="218">
        <v>0</v>
      </c>
      <c r="M51" s="218">
        <v>0</v>
      </c>
      <c r="N51" s="220"/>
      <c r="O51" s="220"/>
      <c r="P51" s="220"/>
    </row>
    <row r="52" spans="1:16" s="175" customFormat="1" ht="31.2" x14ac:dyDescent="0.3">
      <c r="A52" s="172"/>
      <c r="B52" s="214" t="s">
        <v>778</v>
      </c>
      <c r="C52" s="213">
        <f>E52+F52</f>
        <v>387.4</v>
      </c>
      <c r="D52" s="213">
        <v>0</v>
      </c>
      <c r="E52" s="213">
        <v>0</v>
      </c>
      <c r="F52" s="213">
        <v>387.4</v>
      </c>
      <c r="G52" s="174">
        <v>0</v>
      </c>
      <c r="H52" s="174">
        <v>0</v>
      </c>
      <c r="I52" s="174">
        <v>0</v>
      </c>
      <c r="J52" s="174">
        <v>0</v>
      </c>
      <c r="K52" s="174">
        <v>0</v>
      </c>
      <c r="L52" s="174">
        <v>0</v>
      </c>
      <c r="M52" s="174">
        <v>0</v>
      </c>
    </row>
    <row r="53" spans="1:16" s="175" customFormat="1" ht="15.6" x14ac:dyDescent="0.3">
      <c r="A53" s="172"/>
      <c r="B53" s="214" t="s">
        <v>779</v>
      </c>
      <c r="C53" s="213">
        <f t="shared" ref="C53:C66" si="5">E53+F53</f>
        <v>435.6</v>
      </c>
      <c r="D53" s="213">
        <v>0</v>
      </c>
      <c r="E53" s="213">
        <v>0</v>
      </c>
      <c r="F53" s="213">
        <v>435.6</v>
      </c>
      <c r="G53" s="174">
        <v>0</v>
      </c>
      <c r="H53" s="174">
        <v>0</v>
      </c>
      <c r="I53" s="174">
        <v>0</v>
      </c>
      <c r="J53" s="174">
        <v>0</v>
      </c>
      <c r="K53" s="174">
        <v>0</v>
      </c>
      <c r="L53" s="174">
        <v>0</v>
      </c>
      <c r="M53" s="174">
        <v>0</v>
      </c>
    </row>
    <row r="54" spans="1:16" s="175" customFormat="1" ht="31.2" x14ac:dyDescent="0.3">
      <c r="A54" s="172"/>
      <c r="B54" s="214" t="s">
        <v>780</v>
      </c>
      <c r="C54" s="213">
        <f t="shared" si="5"/>
        <v>387.5</v>
      </c>
      <c r="D54" s="213">
        <v>0</v>
      </c>
      <c r="E54" s="213">
        <v>0</v>
      </c>
      <c r="F54" s="213">
        <v>387.5</v>
      </c>
      <c r="G54" s="174">
        <v>0</v>
      </c>
      <c r="H54" s="174">
        <v>0</v>
      </c>
      <c r="I54" s="174">
        <v>0</v>
      </c>
      <c r="J54" s="174">
        <v>0</v>
      </c>
      <c r="K54" s="174">
        <v>0</v>
      </c>
      <c r="L54" s="174">
        <v>0</v>
      </c>
      <c r="M54" s="174">
        <v>0</v>
      </c>
    </row>
    <row r="55" spans="1:16" s="175" customFormat="1" ht="31.2" x14ac:dyDescent="0.3">
      <c r="A55" s="172"/>
      <c r="B55" s="214" t="s">
        <v>781</v>
      </c>
      <c r="C55" s="213">
        <f t="shared" si="5"/>
        <v>599.5</v>
      </c>
      <c r="D55" s="213">
        <v>0</v>
      </c>
      <c r="E55" s="213">
        <v>0</v>
      </c>
      <c r="F55" s="213">
        <v>599.5</v>
      </c>
      <c r="G55" s="174">
        <v>0</v>
      </c>
      <c r="H55" s="174">
        <v>0</v>
      </c>
      <c r="I55" s="174">
        <v>0</v>
      </c>
      <c r="J55" s="174">
        <v>0</v>
      </c>
      <c r="K55" s="174">
        <v>0</v>
      </c>
      <c r="L55" s="174">
        <v>0</v>
      </c>
      <c r="M55" s="174">
        <v>0</v>
      </c>
    </row>
    <row r="56" spans="1:16" s="175" customFormat="1" ht="31.2" x14ac:dyDescent="0.3">
      <c r="A56" s="172"/>
      <c r="B56" s="214" t="s">
        <v>782</v>
      </c>
      <c r="C56" s="213">
        <f t="shared" si="5"/>
        <v>113.4</v>
      </c>
      <c r="D56" s="213">
        <v>0</v>
      </c>
      <c r="E56" s="213">
        <v>0</v>
      </c>
      <c r="F56" s="213">
        <v>113.4</v>
      </c>
      <c r="G56" s="174">
        <v>0</v>
      </c>
      <c r="H56" s="174">
        <v>0</v>
      </c>
      <c r="I56" s="174">
        <v>0</v>
      </c>
      <c r="J56" s="174">
        <v>0</v>
      </c>
      <c r="K56" s="174">
        <v>0</v>
      </c>
      <c r="L56" s="174">
        <v>0</v>
      </c>
      <c r="M56" s="174">
        <v>0</v>
      </c>
    </row>
    <row r="57" spans="1:16" s="175" customFormat="1" ht="31.2" x14ac:dyDescent="0.3">
      <c r="A57" s="172"/>
      <c r="B57" s="214" t="s">
        <v>783</v>
      </c>
      <c r="C57" s="213">
        <f t="shared" si="5"/>
        <v>125.8</v>
      </c>
      <c r="D57" s="213">
        <v>0</v>
      </c>
      <c r="E57" s="213">
        <v>0</v>
      </c>
      <c r="F57" s="213">
        <v>125.8</v>
      </c>
      <c r="G57" s="174">
        <v>0</v>
      </c>
      <c r="H57" s="174">
        <v>0</v>
      </c>
      <c r="I57" s="174">
        <v>0</v>
      </c>
      <c r="J57" s="174">
        <v>0</v>
      </c>
      <c r="K57" s="174">
        <v>0</v>
      </c>
      <c r="L57" s="174">
        <v>0</v>
      </c>
      <c r="M57" s="174">
        <v>0</v>
      </c>
    </row>
    <row r="58" spans="1:16" s="175" customFormat="1" ht="31.2" x14ac:dyDescent="0.3">
      <c r="A58" s="172"/>
      <c r="B58" s="214" t="s">
        <v>784</v>
      </c>
      <c r="C58" s="213">
        <f t="shared" si="5"/>
        <v>115.8</v>
      </c>
      <c r="D58" s="213">
        <v>0</v>
      </c>
      <c r="E58" s="213">
        <v>0</v>
      </c>
      <c r="F58" s="213">
        <v>115.8</v>
      </c>
      <c r="G58" s="174">
        <v>0</v>
      </c>
      <c r="H58" s="174">
        <v>0</v>
      </c>
      <c r="I58" s="174">
        <v>0</v>
      </c>
      <c r="J58" s="174">
        <v>0</v>
      </c>
      <c r="K58" s="174">
        <v>0</v>
      </c>
      <c r="L58" s="174">
        <v>0</v>
      </c>
      <c r="M58" s="174">
        <v>0</v>
      </c>
    </row>
    <row r="59" spans="1:16" s="175" customFormat="1" ht="46.8" x14ac:dyDescent="0.3">
      <c r="A59" s="172"/>
      <c r="B59" s="214" t="s">
        <v>785</v>
      </c>
      <c r="C59" s="213">
        <f t="shared" si="5"/>
        <v>326.7</v>
      </c>
      <c r="D59" s="213">
        <v>0</v>
      </c>
      <c r="E59" s="213">
        <v>0</v>
      </c>
      <c r="F59" s="213">
        <v>326.7</v>
      </c>
      <c r="G59" s="174">
        <v>0</v>
      </c>
      <c r="H59" s="174">
        <v>0</v>
      </c>
      <c r="I59" s="174">
        <v>0</v>
      </c>
      <c r="J59" s="174">
        <v>0</v>
      </c>
      <c r="K59" s="174">
        <v>0</v>
      </c>
      <c r="L59" s="174">
        <v>0</v>
      </c>
      <c r="M59" s="174">
        <v>0</v>
      </c>
    </row>
    <row r="60" spans="1:16" s="175" customFormat="1" ht="15.6" x14ac:dyDescent="0.3">
      <c r="A60" s="172"/>
      <c r="B60" s="214" t="s">
        <v>786</v>
      </c>
      <c r="C60" s="213">
        <f t="shared" si="5"/>
        <v>89.2</v>
      </c>
      <c r="D60" s="213">
        <v>0</v>
      </c>
      <c r="E60" s="213">
        <v>0</v>
      </c>
      <c r="F60" s="213">
        <v>89.2</v>
      </c>
      <c r="G60" s="174">
        <v>0</v>
      </c>
      <c r="H60" s="174">
        <v>0</v>
      </c>
      <c r="I60" s="174">
        <v>0</v>
      </c>
      <c r="J60" s="174">
        <v>0</v>
      </c>
      <c r="K60" s="174">
        <v>0</v>
      </c>
      <c r="L60" s="174">
        <v>0</v>
      </c>
      <c r="M60" s="174">
        <v>0</v>
      </c>
    </row>
    <row r="61" spans="1:16" s="175" customFormat="1" ht="31.2" x14ac:dyDescent="0.3">
      <c r="A61" s="172"/>
      <c r="B61" s="214" t="s">
        <v>787</v>
      </c>
      <c r="C61" s="213">
        <f t="shared" si="5"/>
        <v>158.6</v>
      </c>
      <c r="D61" s="213">
        <v>0</v>
      </c>
      <c r="E61" s="213">
        <v>0</v>
      </c>
      <c r="F61" s="213">
        <v>158.6</v>
      </c>
      <c r="G61" s="174">
        <v>0</v>
      </c>
      <c r="H61" s="174">
        <v>0</v>
      </c>
      <c r="I61" s="174">
        <v>0</v>
      </c>
      <c r="J61" s="174">
        <v>0</v>
      </c>
      <c r="K61" s="174">
        <v>0</v>
      </c>
      <c r="L61" s="174">
        <v>0</v>
      </c>
      <c r="M61" s="174">
        <v>0</v>
      </c>
    </row>
    <row r="62" spans="1:16" s="175" customFormat="1" ht="31.2" x14ac:dyDescent="0.3">
      <c r="A62" s="172"/>
      <c r="B62" s="214" t="s">
        <v>788</v>
      </c>
      <c r="C62" s="213">
        <f t="shared" si="5"/>
        <v>121.4</v>
      </c>
      <c r="D62" s="213">
        <v>0</v>
      </c>
      <c r="E62" s="213">
        <v>0</v>
      </c>
      <c r="F62" s="213">
        <v>121.4</v>
      </c>
      <c r="G62" s="174">
        <v>0</v>
      </c>
      <c r="H62" s="174">
        <v>0</v>
      </c>
      <c r="I62" s="174">
        <v>0</v>
      </c>
      <c r="J62" s="174">
        <v>0</v>
      </c>
      <c r="K62" s="174">
        <v>0</v>
      </c>
      <c r="L62" s="174">
        <v>0</v>
      </c>
      <c r="M62" s="174">
        <v>0</v>
      </c>
    </row>
    <row r="63" spans="1:16" s="175" customFormat="1" ht="31.2" x14ac:dyDescent="0.3">
      <c r="A63" s="172"/>
      <c r="B63" s="214" t="s">
        <v>789</v>
      </c>
      <c r="C63" s="213">
        <f t="shared" si="5"/>
        <v>600</v>
      </c>
      <c r="D63" s="213">
        <v>0</v>
      </c>
      <c r="E63" s="213">
        <v>0</v>
      </c>
      <c r="F63" s="213">
        <v>600</v>
      </c>
      <c r="G63" s="174">
        <v>0</v>
      </c>
      <c r="H63" s="174">
        <v>0</v>
      </c>
      <c r="I63" s="174">
        <v>0</v>
      </c>
      <c r="J63" s="174">
        <v>0</v>
      </c>
      <c r="K63" s="174">
        <v>0</v>
      </c>
      <c r="L63" s="174">
        <v>0</v>
      </c>
      <c r="M63" s="174">
        <v>0</v>
      </c>
    </row>
    <row r="64" spans="1:16" s="175" customFormat="1" ht="31.2" x14ac:dyDescent="0.3">
      <c r="A64" s="172"/>
      <c r="B64" s="214" t="s">
        <v>790</v>
      </c>
      <c r="C64" s="213">
        <f t="shared" si="5"/>
        <v>600</v>
      </c>
      <c r="D64" s="213">
        <v>0</v>
      </c>
      <c r="E64" s="213">
        <v>0</v>
      </c>
      <c r="F64" s="213">
        <v>600</v>
      </c>
      <c r="G64" s="174">
        <v>0</v>
      </c>
      <c r="H64" s="174">
        <v>0</v>
      </c>
      <c r="I64" s="174">
        <v>0</v>
      </c>
      <c r="J64" s="174">
        <v>0</v>
      </c>
      <c r="K64" s="174">
        <v>0</v>
      </c>
      <c r="L64" s="174">
        <v>0</v>
      </c>
      <c r="M64" s="174">
        <v>0</v>
      </c>
    </row>
    <row r="65" spans="1:16" s="175" customFormat="1" ht="46.8" x14ac:dyDescent="0.3">
      <c r="A65" s="172"/>
      <c r="B65" s="214" t="s">
        <v>833</v>
      </c>
      <c r="C65" s="213">
        <f t="shared" si="5"/>
        <v>598.5</v>
      </c>
      <c r="D65" s="213">
        <v>0</v>
      </c>
      <c r="E65" s="213">
        <v>0</v>
      </c>
      <c r="F65" s="213">
        <v>598.5</v>
      </c>
      <c r="G65" s="174">
        <v>0</v>
      </c>
      <c r="H65" s="174">
        <v>0</v>
      </c>
      <c r="I65" s="174">
        <v>0</v>
      </c>
      <c r="J65" s="174">
        <v>0</v>
      </c>
      <c r="K65" s="174">
        <v>0</v>
      </c>
      <c r="L65" s="174">
        <v>0</v>
      </c>
      <c r="M65" s="174">
        <v>0</v>
      </c>
    </row>
    <row r="66" spans="1:16" s="175" customFormat="1" ht="31.2" x14ac:dyDescent="0.3">
      <c r="A66" s="172"/>
      <c r="B66" s="214" t="s">
        <v>834</v>
      </c>
      <c r="C66" s="213">
        <f t="shared" si="5"/>
        <v>199.1</v>
      </c>
      <c r="D66" s="213">
        <v>0</v>
      </c>
      <c r="E66" s="213">
        <v>0</v>
      </c>
      <c r="F66" s="213">
        <v>199.1</v>
      </c>
      <c r="G66" s="174">
        <v>0</v>
      </c>
      <c r="H66" s="174">
        <v>0</v>
      </c>
      <c r="I66" s="174">
        <v>0</v>
      </c>
      <c r="J66" s="174">
        <v>0</v>
      </c>
      <c r="K66" s="174">
        <v>0</v>
      </c>
      <c r="L66" s="174">
        <v>0</v>
      </c>
      <c r="M66" s="174">
        <v>0</v>
      </c>
    </row>
    <row r="67" spans="1:16" s="175" customFormat="1" ht="46.8" x14ac:dyDescent="0.3">
      <c r="A67" s="418"/>
      <c r="B67" s="419" t="s">
        <v>907</v>
      </c>
      <c r="C67" s="420"/>
      <c r="D67" s="420"/>
      <c r="E67" s="420"/>
      <c r="F67" s="420"/>
      <c r="G67" s="421">
        <v>488.3</v>
      </c>
      <c r="H67" s="421"/>
      <c r="I67" s="421"/>
      <c r="J67" s="421">
        <v>488.3</v>
      </c>
      <c r="K67" s="421"/>
      <c r="L67" s="421"/>
      <c r="M67" s="421"/>
    </row>
    <row r="68" spans="1:16" s="175" customFormat="1" ht="31.2" x14ac:dyDescent="0.3">
      <c r="A68" s="437"/>
      <c r="B68" s="419" t="s">
        <v>910</v>
      </c>
      <c r="C68" s="438"/>
      <c r="D68" s="438"/>
      <c r="E68" s="438"/>
      <c r="F68" s="438"/>
      <c r="G68" s="439">
        <v>600</v>
      </c>
      <c r="H68" s="439"/>
      <c r="I68" s="439"/>
      <c r="J68" s="439">
        <v>600</v>
      </c>
      <c r="K68" s="439"/>
      <c r="L68" s="439"/>
      <c r="M68" s="439"/>
    </row>
    <row r="69" spans="1:16" s="175" customFormat="1" ht="31.2" x14ac:dyDescent="0.3">
      <c r="A69" s="437"/>
      <c r="B69" s="419" t="s">
        <v>911</v>
      </c>
      <c r="C69" s="438"/>
      <c r="D69" s="438"/>
      <c r="E69" s="438"/>
      <c r="F69" s="438"/>
      <c r="G69" s="439">
        <v>600</v>
      </c>
      <c r="H69" s="439"/>
      <c r="I69" s="439"/>
      <c r="J69" s="439">
        <v>600</v>
      </c>
      <c r="K69" s="439"/>
      <c r="L69" s="439"/>
      <c r="M69" s="439"/>
    </row>
    <row r="70" spans="1:16" s="219" customFormat="1" ht="31.2" x14ac:dyDescent="0.3">
      <c r="A70" s="216"/>
      <c r="B70" s="217" t="s">
        <v>699</v>
      </c>
      <c r="C70" s="218">
        <f>F70</f>
        <v>9637.7000000000007</v>
      </c>
      <c r="D70" s="218">
        <v>0</v>
      </c>
      <c r="E70" s="218">
        <v>0</v>
      </c>
      <c r="F70" s="218">
        <f>SUM(F71:F89)</f>
        <v>9637.7000000000007</v>
      </c>
      <c r="G70" s="218">
        <f>J70</f>
        <v>0</v>
      </c>
      <c r="H70" s="218">
        <v>0</v>
      </c>
      <c r="I70" s="218">
        <v>0</v>
      </c>
      <c r="J70" s="218">
        <v>0</v>
      </c>
      <c r="K70" s="218">
        <v>0</v>
      </c>
      <c r="L70" s="218">
        <v>0</v>
      </c>
      <c r="M70" s="218">
        <v>0</v>
      </c>
      <c r="N70" s="220"/>
      <c r="O70" s="220"/>
      <c r="P70" s="220"/>
    </row>
    <row r="71" spans="1:16" s="175" customFormat="1" ht="31.2" x14ac:dyDescent="0.3">
      <c r="A71" s="172"/>
      <c r="B71" s="214" t="s">
        <v>791</v>
      </c>
      <c r="C71" s="213">
        <f>F71</f>
        <v>1786.6</v>
      </c>
      <c r="D71" s="213">
        <v>0</v>
      </c>
      <c r="E71" s="213">
        <v>0</v>
      </c>
      <c r="F71" s="213">
        <v>1786.6</v>
      </c>
      <c r="G71" s="174">
        <v>0</v>
      </c>
      <c r="H71" s="174">
        <v>0</v>
      </c>
      <c r="I71" s="174">
        <v>0</v>
      </c>
      <c r="J71" s="174">
        <v>0</v>
      </c>
      <c r="K71" s="174">
        <v>0</v>
      </c>
      <c r="L71" s="174">
        <v>0</v>
      </c>
      <c r="M71" s="174">
        <v>0</v>
      </c>
    </row>
    <row r="72" spans="1:16" s="175" customFormat="1" ht="31.2" x14ac:dyDescent="0.3">
      <c r="A72" s="172"/>
      <c r="B72" s="214" t="s">
        <v>792</v>
      </c>
      <c r="C72" s="213">
        <f t="shared" ref="C72:C89" si="6">F72</f>
        <v>577.70000000000005</v>
      </c>
      <c r="D72" s="213">
        <v>0</v>
      </c>
      <c r="E72" s="213">
        <v>0</v>
      </c>
      <c r="F72" s="213">
        <v>577.70000000000005</v>
      </c>
      <c r="G72" s="174">
        <v>0</v>
      </c>
      <c r="H72" s="174">
        <v>0</v>
      </c>
      <c r="I72" s="174">
        <v>0</v>
      </c>
      <c r="J72" s="174">
        <v>0</v>
      </c>
      <c r="K72" s="174">
        <v>0</v>
      </c>
      <c r="L72" s="174">
        <v>0</v>
      </c>
      <c r="M72" s="174">
        <v>0</v>
      </c>
    </row>
    <row r="73" spans="1:16" s="175" customFormat="1" ht="31.2" x14ac:dyDescent="0.3">
      <c r="A73" s="172"/>
      <c r="B73" s="214" t="s">
        <v>793</v>
      </c>
      <c r="C73" s="213">
        <f t="shared" si="6"/>
        <v>204.4</v>
      </c>
      <c r="D73" s="213">
        <v>0</v>
      </c>
      <c r="E73" s="213">
        <v>0</v>
      </c>
      <c r="F73" s="213">
        <v>204.4</v>
      </c>
      <c r="G73" s="174">
        <v>0</v>
      </c>
      <c r="H73" s="174">
        <v>0</v>
      </c>
      <c r="I73" s="174">
        <v>0</v>
      </c>
      <c r="J73" s="174">
        <v>0</v>
      </c>
      <c r="K73" s="174">
        <v>0</v>
      </c>
      <c r="L73" s="174">
        <v>0</v>
      </c>
      <c r="M73" s="174">
        <v>0</v>
      </c>
    </row>
    <row r="74" spans="1:16" s="175" customFormat="1" ht="31.2" x14ac:dyDescent="0.3">
      <c r="A74" s="172"/>
      <c r="B74" s="214" t="s">
        <v>794</v>
      </c>
      <c r="C74" s="213">
        <f t="shared" si="6"/>
        <v>75.900000000000006</v>
      </c>
      <c r="D74" s="213">
        <v>0</v>
      </c>
      <c r="E74" s="213">
        <v>0</v>
      </c>
      <c r="F74" s="213">
        <v>75.900000000000006</v>
      </c>
      <c r="G74" s="174">
        <v>0</v>
      </c>
      <c r="H74" s="174">
        <v>0</v>
      </c>
      <c r="I74" s="174">
        <v>0</v>
      </c>
      <c r="J74" s="174">
        <v>0</v>
      </c>
      <c r="K74" s="174">
        <v>0</v>
      </c>
      <c r="L74" s="174">
        <v>0</v>
      </c>
      <c r="M74" s="174">
        <v>0</v>
      </c>
    </row>
    <row r="75" spans="1:16" s="175" customFormat="1" ht="46.8" x14ac:dyDescent="0.3">
      <c r="A75" s="172"/>
      <c r="B75" s="214" t="s">
        <v>795</v>
      </c>
      <c r="C75" s="213">
        <f t="shared" si="6"/>
        <v>424.3</v>
      </c>
      <c r="D75" s="213">
        <v>0</v>
      </c>
      <c r="E75" s="213">
        <v>0</v>
      </c>
      <c r="F75" s="213">
        <v>424.3</v>
      </c>
      <c r="G75" s="174">
        <v>0</v>
      </c>
      <c r="H75" s="174">
        <v>0</v>
      </c>
      <c r="I75" s="174">
        <v>0</v>
      </c>
      <c r="J75" s="174">
        <v>0</v>
      </c>
      <c r="K75" s="174">
        <v>0</v>
      </c>
      <c r="L75" s="174">
        <v>0</v>
      </c>
      <c r="M75" s="174">
        <v>0</v>
      </c>
    </row>
    <row r="76" spans="1:16" s="175" customFormat="1" ht="15.6" x14ac:dyDescent="0.3">
      <c r="A76" s="172"/>
      <c r="B76" s="214" t="s">
        <v>796</v>
      </c>
      <c r="C76" s="213">
        <f t="shared" si="6"/>
        <v>374.6</v>
      </c>
      <c r="D76" s="213">
        <v>0</v>
      </c>
      <c r="E76" s="213">
        <v>0</v>
      </c>
      <c r="F76" s="213">
        <v>374.6</v>
      </c>
      <c r="G76" s="174">
        <v>0</v>
      </c>
      <c r="H76" s="174">
        <v>0</v>
      </c>
      <c r="I76" s="174">
        <v>0</v>
      </c>
      <c r="J76" s="174">
        <v>0</v>
      </c>
      <c r="K76" s="174">
        <v>0</v>
      </c>
      <c r="L76" s="174">
        <v>0</v>
      </c>
      <c r="M76" s="174">
        <v>0</v>
      </c>
    </row>
    <row r="77" spans="1:16" s="175" customFormat="1" ht="31.2" x14ac:dyDescent="0.3">
      <c r="A77" s="172"/>
      <c r="B77" s="214" t="s">
        <v>797</v>
      </c>
      <c r="C77" s="213">
        <f t="shared" si="6"/>
        <v>806.6</v>
      </c>
      <c r="D77" s="213">
        <v>0</v>
      </c>
      <c r="E77" s="213">
        <v>0</v>
      </c>
      <c r="F77" s="213">
        <v>806.6</v>
      </c>
      <c r="G77" s="174">
        <v>0</v>
      </c>
      <c r="H77" s="174">
        <v>0</v>
      </c>
      <c r="I77" s="174">
        <v>0</v>
      </c>
      <c r="J77" s="174">
        <v>0</v>
      </c>
      <c r="K77" s="174">
        <v>0</v>
      </c>
      <c r="L77" s="174">
        <v>0</v>
      </c>
      <c r="M77" s="174">
        <v>0</v>
      </c>
    </row>
    <row r="78" spans="1:16" s="175" customFormat="1" ht="31.2" x14ac:dyDescent="0.3">
      <c r="A78" s="172"/>
      <c r="B78" s="214" t="s">
        <v>798</v>
      </c>
      <c r="C78" s="213">
        <f t="shared" si="6"/>
        <v>879.4</v>
      </c>
      <c r="D78" s="213">
        <v>0</v>
      </c>
      <c r="E78" s="213">
        <v>0</v>
      </c>
      <c r="F78" s="213">
        <v>879.4</v>
      </c>
      <c r="G78" s="174">
        <v>0</v>
      </c>
      <c r="H78" s="174">
        <v>0</v>
      </c>
      <c r="I78" s="174">
        <v>0</v>
      </c>
      <c r="J78" s="174">
        <v>0</v>
      </c>
      <c r="K78" s="174">
        <v>0</v>
      </c>
      <c r="L78" s="174">
        <v>0</v>
      </c>
      <c r="M78" s="174">
        <v>0</v>
      </c>
    </row>
    <row r="79" spans="1:16" s="175" customFormat="1" ht="31.2" x14ac:dyDescent="0.3">
      <c r="A79" s="172"/>
      <c r="B79" s="214" t="s">
        <v>799</v>
      </c>
      <c r="C79" s="213">
        <f t="shared" si="6"/>
        <v>526.29999999999995</v>
      </c>
      <c r="D79" s="213">
        <v>0</v>
      </c>
      <c r="E79" s="213">
        <v>0</v>
      </c>
      <c r="F79" s="213">
        <v>526.29999999999995</v>
      </c>
      <c r="G79" s="174">
        <v>0</v>
      </c>
      <c r="H79" s="174">
        <v>0</v>
      </c>
      <c r="I79" s="174">
        <v>0</v>
      </c>
      <c r="J79" s="174">
        <v>0</v>
      </c>
      <c r="K79" s="174">
        <v>0</v>
      </c>
      <c r="L79" s="174">
        <v>0</v>
      </c>
      <c r="M79" s="174">
        <v>0</v>
      </c>
    </row>
    <row r="80" spans="1:16" s="175" customFormat="1" ht="15.6" x14ac:dyDescent="0.3">
      <c r="A80" s="172"/>
      <c r="B80" s="214" t="s">
        <v>800</v>
      </c>
      <c r="C80" s="213">
        <f t="shared" si="6"/>
        <v>493.7</v>
      </c>
      <c r="D80" s="213">
        <v>0</v>
      </c>
      <c r="E80" s="213">
        <v>0</v>
      </c>
      <c r="F80" s="213">
        <v>493.7</v>
      </c>
      <c r="G80" s="174">
        <v>0</v>
      </c>
      <c r="H80" s="174">
        <v>0</v>
      </c>
      <c r="I80" s="174">
        <v>0</v>
      </c>
      <c r="J80" s="174">
        <v>0</v>
      </c>
      <c r="K80" s="174">
        <v>0</v>
      </c>
      <c r="L80" s="174">
        <v>0</v>
      </c>
      <c r="M80" s="174">
        <v>0</v>
      </c>
    </row>
    <row r="81" spans="1:16" s="175" customFormat="1" ht="31.2" x14ac:dyDescent="0.3">
      <c r="A81" s="172"/>
      <c r="B81" s="214" t="s">
        <v>801</v>
      </c>
      <c r="C81" s="213">
        <f t="shared" si="6"/>
        <v>167</v>
      </c>
      <c r="D81" s="213">
        <v>0</v>
      </c>
      <c r="E81" s="213">
        <v>0</v>
      </c>
      <c r="F81" s="213">
        <v>167</v>
      </c>
      <c r="G81" s="174">
        <v>0</v>
      </c>
      <c r="H81" s="174">
        <v>0</v>
      </c>
      <c r="I81" s="174">
        <v>0</v>
      </c>
      <c r="J81" s="174">
        <v>0</v>
      </c>
      <c r="K81" s="174">
        <v>0</v>
      </c>
      <c r="L81" s="174">
        <v>0</v>
      </c>
      <c r="M81" s="174">
        <v>0</v>
      </c>
    </row>
    <row r="82" spans="1:16" s="175" customFormat="1" ht="31.2" x14ac:dyDescent="0.3">
      <c r="A82" s="172"/>
      <c r="B82" s="214" t="s">
        <v>802</v>
      </c>
      <c r="C82" s="213">
        <f t="shared" si="6"/>
        <v>493.7</v>
      </c>
      <c r="D82" s="213">
        <v>0</v>
      </c>
      <c r="E82" s="213">
        <v>0</v>
      </c>
      <c r="F82" s="213">
        <v>493.7</v>
      </c>
      <c r="G82" s="174">
        <v>0</v>
      </c>
      <c r="H82" s="174">
        <v>0</v>
      </c>
      <c r="I82" s="174">
        <v>0</v>
      </c>
      <c r="J82" s="174">
        <v>0</v>
      </c>
      <c r="K82" s="174">
        <v>0</v>
      </c>
      <c r="L82" s="174">
        <v>0</v>
      </c>
      <c r="M82" s="174">
        <v>0</v>
      </c>
    </row>
    <row r="83" spans="1:16" s="175" customFormat="1" ht="31.2" x14ac:dyDescent="0.3">
      <c r="A83" s="172"/>
      <c r="B83" s="214" t="s">
        <v>803</v>
      </c>
      <c r="C83" s="213">
        <f t="shared" si="6"/>
        <v>1441.5</v>
      </c>
      <c r="D83" s="213">
        <v>0</v>
      </c>
      <c r="E83" s="213">
        <v>0</v>
      </c>
      <c r="F83" s="213">
        <v>1441.5</v>
      </c>
      <c r="G83" s="174">
        <v>0</v>
      </c>
      <c r="H83" s="174">
        <v>0</v>
      </c>
      <c r="I83" s="174">
        <v>0</v>
      </c>
      <c r="J83" s="174">
        <v>0</v>
      </c>
      <c r="K83" s="174">
        <v>0</v>
      </c>
      <c r="L83" s="174">
        <v>0</v>
      </c>
      <c r="M83" s="174">
        <v>0</v>
      </c>
    </row>
    <row r="84" spans="1:16" s="175" customFormat="1" ht="15.6" x14ac:dyDescent="0.3">
      <c r="A84" s="172"/>
      <c r="B84" s="214" t="s">
        <v>804</v>
      </c>
      <c r="C84" s="213">
        <f t="shared" si="6"/>
        <v>102.7</v>
      </c>
      <c r="D84" s="213">
        <v>0</v>
      </c>
      <c r="E84" s="213">
        <v>0</v>
      </c>
      <c r="F84" s="213">
        <v>102.7</v>
      </c>
      <c r="G84" s="174">
        <v>0</v>
      </c>
      <c r="H84" s="174">
        <v>0</v>
      </c>
      <c r="I84" s="174">
        <v>0</v>
      </c>
      <c r="J84" s="174">
        <v>0</v>
      </c>
      <c r="K84" s="174">
        <v>0</v>
      </c>
      <c r="L84" s="174">
        <v>0</v>
      </c>
      <c r="M84" s="174">
        <v>0</v>
      </c>
    </row>
    <row r="85" spans="1:16" s="175" customFormat="1" ht="31.2" x14ac:dyDescent="0.3">
      <c r="A85" s="172"/>
      <c r="B85" s="214" t="s">
        <v>829</v>
      </c>
      <c r="C85" s="213">
        <f t="shared" si="6"/>
        <v>200</v>
      </c>
      <c r="D85" s="213">
        <v>0</v>
      </c>
      <c r="E85" s="213">
        <v>0</v>
      </c>
      <c r="F85" s="213">
        <v>200</v>
      </c>
      <c r="G85" s="174">
        <v>0</v>
      </c>
      <c r="H85" s="174">
        <v>0</v>
      </c>
      <c r="I85" s="174">
        <v>0</v>
      </c>
      <c r="J85" s="174">
        <v>0</v>
      </c>
      <c r="K85" s="174">
        <v>0</v>
      </c>
      <c r="L85" s="174">
        <v>0</v>
      </c>
      <c r="M85" s="174">
        <v>0</v>
      </c>
    </row>
    <row r="86" spans="1:16" s="175" customFormat="1" ht="15.6" x14ac:dyDescent="0.3">
      <c r="A86" s="172"/>
      <c r="B86" s="459" t="s">
        <v>923</v>
      </c>
      <c r="C86" s="213">
        <f t="shared" si="6"/>
        <v>600</v>
      </c>
      <c r="D86" s="213">
        <v>0</v>
      </c>
      <c r="E86" s="213">
        <v>0</v>
      </c>
      <c r="F86" s="213">
        <v>600</v>
      </c>
      <c r="G86" s="174">
        <v>0</v>
      </c>
      <c r="H86" s="174">
        <v>0</v>
      </c>
      <c r="I86" s="174">
        <v>0</v>
      </c>
      <c r="J86" s="174">
        <v>0</v>
      </c>
      <c r="K86" s="174">
        <v>0</v>
      </c>
      <c r="L86" s="174">
        <v>0</v>
      </c>
      <c r="M86" s="174">
        <v>0</v>
      </c>
    </row>
    <row r="87" spans="1:16" s="175" customFormat="1" ht="31.2" x14ac:dyDescent="0.3">
      <c r="A87" s="172"/>
      <c r="B87" s="214" t="s">
        <v>830</v>
      </c>
      <c r="C87" s="213">
        <f t="shared" si="6"/>
        <v>93.8</v>
      </c>
      <c r="D87" s="213">
        <v>0</v>
      </c>
      <c r="E87" s="213">
        <v>0</v>
      </c>
      <c r="F87" s="213">
        <v>93.8</v>
      </c>
      <c r="G87" s="174">
        <v>0</v>
      </c>
      <c r="H87" s="174">
        <v>0</v>
      </c>
      <c r="I87" s="174">
        <v>0</v>
      </c>
      <c r="J87" s="174">
        <v>0</v>
      </c>
      <c r="K87" s="174">
        <v>0</v>
      </c>
      <c r="L87" s="174">
        <v>0</v>
      </c>
      <c r="M87" s="174">
        <v>0</v>
      </c>
    </row>
    <row r="88" spans="1:16" s="175" customFormat="1" ht="31.2" x14ac:dyDescent="0.3">
      <c r="A88" s="172"/>
      <c r="B88" s="214" t="s">
        <v>831</v>
      </c>
      <c r="C88" s="213">
        <f t="shared" si="6"/>
        <v>300.3</v>
      </c>
      <c r="D88" s="213">
        <v>0</v>
      </c>
      <c r="E88" s="213">
        <v>0</v>
      </c>
      <c r="F88" s="213">
        <v>300.3</v>
      </c>
      <c r="G88" s="174">
        <v>0</v>
      </c>
      <c r="H88" s="174">
        <v>0</v>
      </c>
      <c r="I88" s="174">
        <v>0</v>
      </c>
      <c r="J88" s="174">
        <v>0</v>
      </c>
      <c r="K88" s="174">
        <v>0</v>
      </c>
      <c r="L88" s="174">
        <v>0</v>
      </c>
      <c r="M88" s="174">
        <v>0</v>
      </c>
    </row>
    <row r="89" spans="1:16" s="175" customFormat="1" ht="31.2" x14ac:dyDescent="0.3">
      <c r="A89" s="172"/>
      <c r="B89" s="214" t="s">
        <v>832</v>
      </c>
      <c r="C89" s="213">
        <f t="shared" si="6"/>
        <v>89.2</v>
      </c>
      <c r="D89" s="213">
        <v>0</v>
      </c>
      <c r="E89" s="213">
        <v>0</v>
      </c>
      <c r="F89" s="213">
        <v>89.2</v>
      </c>
      <c r="G89" s="174">
        <v>0</v>
      </c>
      <c r="H89" s="174">
        <v>0</v>
      </c>
      <c r="I89" s="174">
        <v>0</v>
      </c>
      <c r="J89" s="174">
        <v>0</v>
      </c>
      <c r="K89" s="174">
        <v>0</v>
      </c>
      <c r="L89" s="174">
        <v>0</v>
      </c>
      <c r="M89" s="174">
        <v>0</v>
      </c>
    </row>
    <row r="90" spans="1:16" s="171" customFormat="1" ht="15.6" x14ac:dyDescent="0.3">
      <c r="A90" s="254" t="s">
        <v>703</v>
      </c>
      <c r="B90" s="257" t="s">
        <v>701</v>
      </c>
      <c r="C90" s="256">
        <f>E90+F90</f>
        <v>31983.9</v>
      </c>
      <c r="D90" s="256">
        <v>0</v>
      </c>
      <c r="E90" s="256">
        <v>0</v>
      </c>
      <c r="F90" s="256">
        <f>F91</f>
        <v>31983.9</v>
      </c>
      <c r="G90" s="256">
        <f>I90+J90</f>
        <v>31983.9</v>
      </c>
      <c r="H90" s="256">
        <v>0</v>
      </c>
      <c r="I90" s="256">
        <v>0</v>
      </c>
      <c r="J90" s="256">
        <f>J91</f>
        <v>31983.9</v>
      </c>
      <c r="K90" s="256">
        <f>L90+M90</f>
        <v>31983.9</v>
      </c>
      <c r="L90" s="258">
        <v>0</v>
      </c>
      <c r="M90" s="256">
        <f>M91</f>
        <v>31983.9</v>
      </c>
      <c r="N90" s="210"/>
      <c r="O90" s="210"/>
      <c r="P90" s="210"/>
    </row>
    <row r="91" spans="1:16" s="175" customFormat="1" ht="48.75" customHeight="1" x14ac:dyDescent="0.3">
      <c r="A91" s="172"/>
      <c r="B91" s="176" t="s">
        <v>702</v>
      </c>
      <c r="C91" s="174">
        <f>E91+F91</f>
        <v>31983.9</v>
      </c>
      <c r="D91" s="174">
        <v>0</v>
      </c>
      <c r="E91" s="174">
        <v>0</v>
      </c>
      <c r="F91" s="174">
        <v>31983.9</v>
      </c>
      <c r="G91" s="174">
        <f>I91+J91</f>
        <v>31983.9</v>
      </c>
      <c r="H91" s="174">
        <v>0</v>
      </c>
      <c r="I91" s="174">
        <v>0</v>
      </c>
      <c r="J91" s="174">
        <v>31983.9</v>
      </c>
      <c r="K91" s="174">
        <f>L91+M91</f>
        <v>31983.9</v>
      </c>
      <c r="L91" s="177">
        <v>0</v>
      </c>
      <c r="M91" s="174">
        <v>31983.9</v>
      </c>
      <c r="N91" s="209"/>
      <c r="O91" s="209"/>
      <c r="P91" s="209"/>
    </row>
    <row r="92" spans="1:16" s="171" customFormat="1" ht="31.2" x14ac:dyDescent="0.3">
      <c r="A92" s="254" t="s">
        <v>764</v>
      </c>
      <c r="B92" s="257" t="s">
        <v>427</v>
      </c>
      <c r="C92" s="256">
        <f>E92+F92+D92</f>
        <v>50131.557710000001</v>
      </c>
      <c r="D92" s="256">
        <f>D93</f>
        <v>47403.956680000003</v>
      </c>
      <c r="E92" s="256">
        <f>E93</f>
        <v>2494.9450700000002</v>
      </c>
      <c r="F92" s="256">
        <f>F93</f>
        <v>232.65595999999999</v>
      </c>
      <c r="G92" s="256">
        <f>I92+J92+H92</f>
        <v>1455.01207</v>
      </c>
      <c r="H92" s="256">
        <f>H93</f>
        <v>0</v>
      </c>
      <c r="I92" s="256">
        <f>I93</f>
        <v>0</v>
      </c>
      <c r="J92" s="256">
        <f>J93</f>
        <v>1455.01207</v>
      </c>
      <c r="K92" s="256">
        <f>L92+M92</f>
        <v>0</v>
      </c>
      <c r="L92" s="258">
        <v>0</v>
      </c>
      <c r="M92" s="256">
        <f>M93</f>
        <v>0</v>
      </c>
      <c r="N92" s="210"/>
      <c r="O92" s="210"/>
      <c r="P92" s="210"/>
    </row>
    <row r="93" spans="1:16" s="175" customFormat="1" ht="31.2" x14ac:dyDescent="0.3">
      <c r="A93" s="172"/>
      <c r="B93" s="176" t="s">
        <v>704</v>
      </c>
      <c r="C93" s="174">
        <f>E93+F93+D93</f>
        <v>50131.557710000001</v>
      </c>
      <c r="D93" s="174">
        <v>47403.956680000003</v>
      </c>
      <c r="E93" s="174">
        <v>2494.9450700000002</v>
      </c>
      <c r="F93" s="174">
        <v>232.65595999999999</v>
      </c>
      <c r="G93" s="174">
        <f>I93+J93+H93</f>
        <v>1455.01207</v>
      </c>
      <c r="H93" s="174">
        <v>0</v>
      </c>
      <c r="I93" s="174">
        <v>0</v>
      </c>
      <c r="J93" s="174">
        <f>1327.7805+127.23157</f>
        <v>1455.01207</v>
      </c>
      <c r="K93" s="174">
        <f>L93+M93</f>
        <v>0</v>
      </c>
      <c r="L93" s="177">
        <v>0</v>
      </c>
      <c r="M93" s="174">
        <v>0</v>
      </c>
      <c r="N93" s="209"/>
      <c r="O93" s="209"/>
      <c r="P93" s="209"/>
    </row>
    <row r="94" spans="1:16" s="170" customFormat="1" ht="46.8" x14ac:dyDescent="0.3">
      <c r="A94" s="250" t="s">
        <v>684</v>
      </c>
      <c r="B94" s="251" t="s">
        <v>705</v>
      </c>
      <c r="C94" s="252">
        <f>C95+C97</f>
        <v>930.90000000000009</v>
      </c>
      <c r="D94" s="252">
        <v>0</v>
      </c>
      <c r="E94" s="252">
        <v>0</v>
      </c>
      <c r="F94" s="252">
        <f>F95+F97</f>
        <v>930.90000000000009</v>
      </c>
      <c r="G94" s="252">
        <f>J94</f>
        <v>300.39999999999998</v>
      </c>
      <c r="H94" s="252">
        <v>0</v>
      </c>
      <c r="I94" s="252">
        <v>0</v>
      </c>
      <c r="J94" s="252">
        <f>J95+J97</f>
        <v>300.39999999999998</v>
      </c>
      <c r="K94" s="252">
        <f>K96</f>
        <v>0</v>
      </c>
      <c r="L94" s="253">
        <v>0</v>
      </c>
      <c r="M94" s="252">
        <f>M96</f>
        <v>0</v>
      </c>
      <c r="N94" s="211"/>
      <c r="O94" s="211"/>
      <c r="P94" s="211"/>
    </row>
    <row r="95" spans="1:16" s="175" customFormat="1" ht="31.2" x14ac:dyDescent="0.3">
      <c r="A95" s="254" t="s">
        <v>706</v>
      </c>
      <c r="B95" s="255" t="s">
        <v>421</v>
      </c>
      <c r="C95" s="259">
        <f>C96</f>
        <v>898.2</v>
      </c>
      <c r="D95" s="259">
        <v>0</v>
      </c>
      <c r="E95" s="259">
        <v>0</v>
      </c>
      <c r="F95" s="259">
        <f>F96</f>
        <v>898.2</v>
      </c>
      <c r="G95" s="259">
        <v>0</v>
      </c>
      <c r="H95" s="259">
        <v>0</v>
      </c>
      <c r="I95" s="259">
        <v>0</v>
      </c>
      <c r="J95" s="259">
        <v>0</v>
      </c>
      <c r="K95" s="259">
        <v>0</v>
      </c>
      <c r="L95" s="260">
        <v>0</v>
      </c>
      <c r="M95" s="259">
        <v>0</v>
      </c>
      <c r="N95" s="209"/>
      <c r="O95" s="209"/>
      <c r="P95" s="209"/>
    </row>
    <row r="96" spans="1:16" ht="51.75" customHeight="1" x14ac:dyDescent="0.3">
      <c r="A96" s="178"/>
      <c r="B96" s="173" t="s">
        <v>707</v>
      </c>
      <c r="C96" s="179">
        <v>898.2</v>
      </c>
      <c r="D96" s="179">
        <v>0</v>
      </c>
      <c r="E96" s="179">
        <v>0</v>
      </c>
      <c r="F96" s="179">
        <v>898.2</v>
      </c>
      <c r="G96" s="179">
        <f>J96</f>
        <v>0</v>
      </c>
      <c r="H96" s="179">
        <v>0</v>
      </c>
      <c r="I96" s="179">
        <v>0</v>
      </c>
      <c r="J96" s="179">
        <v>0</v>
      </c>
      <c r="K96" s="179">
        <v>0</v>
      </c>
      <c r="L96" s="180">
        <v>0</v>
      </c>
      <c r="M96" s="181">
        <v>0</v>
      </c>
    </row>
    <row r="97" spans="1:13" ht="31.2" x14ac:dyDescent="0.3">
      <c r="A97" s="422" t="s">
        <v>908</v>
      </c>
      <c r="B97" s="423" t="s">
        <v>884</v>
      </c>
      <c r="C97" s="424">
        <f>C98</f>
        <v>32.700000000000003</v>
      </c>
      <c r="D97" s="424"/>
      <c r="E97" s="424"/>
      <c r="F97" s="424">
        <f>F98</f>
        <v>32.700000000000003</v>
      </c>
      <c r="G97" s="424">
        <f>G98</f>
        <v>300.39999999999998</v>
      </c>
      <c r="H97" s="424"/>
      <c r="I97" s="424"/>
      <c r="J97" s="424">
        <f>J98</f>
        <v>300.39999999999998</v>
      </c>
      <c r="K97" s="424"/>
      <c r="L97" s="425"/>
      <c r="M97" s="425"/>
    </row>
    <row r="98" spans="1:13" ht="46.8" x14ac:dyDescent="0.3">
      <c r="A98" s="359"/>
      <c r="B98" s="426" t="s">
        <v>909</v>
      </c>
      <c r="C98" s="179">
        <f>F98</f>
        <v>32.700000000000003</v>
      </c>
      <c r="D98" s="179"/>
      <c r="E98" s="179"/>
      <c r="F98" s="179">
        <v>32.700000000000003</v>
      </c>
      <c r="G98" s="179">
        <f>J98</f>
        <v>300.39999999999998</v>
      </c>
      <c r="H98" s="179"/>
      <c r="I98" s="179"/>
      <c r="J98" s="179">
        <v>300.39999999999998</v>
      </c>
      <c r="K98" s="179"/>
      <c r="L98" s="179"/>
      <c r="M98" s="179"/>
    </row>
  </sheetData>
  <mergeCells count="26">
    <mergeCell ref="A7:M7"/>
    <mergeCell ref="K1:M1"/>
    <mergeCell ref="K2:M2"/>
    <mergeCell ref="K3:M3"/>
    <mergeCell ref="K4:M4"/>
    <mergeCell ref="K5:M5"/>
    <mergeCell ref="A9:M9"/>
    <mergeCell ref="A11:A14"/>
    <mergeCell ref="B11:B14"/>
    <mergeCell ref="C11:M12"/>
    <mergeCell ref="C13:C14"/>
    <mergeCell ref="D13:F13"/>
    <mergeCell ref="G13:G14"/>
    <mergeCell ref="H13:J13"/>
    <mergeCell ref="K13:K14"/>
    <mergeCell ref="L13:M13"/>
    <mergeCell ref="A22:M22"/>
    <mergeCell ref="A24:A27"/>
    <mergeCell ref="B24:B27"/>
    <mergeCell ref="C24:M25"/>
    <mergeCell ref="C26:C27"/>
    <mergeCell ref="D26:F26"/>
    <mergeCell ref="G26:G27"/>
    <mergeCell ref="H26:J26"/>
    <mergeCell ref="K26:K27"/>
    <mergeCell ref="L26:M26"/>
  </mergeCells>
  <pageMargins left="0.31496062992125984" right="0.31496062992125984" top="1.1417322834645669" bottom="0.35433070866141736" header="0.31496062992125984" footer="0.31496062992125984"/>
  <pageSetup paperSize="9" scale="53" orientation="landscape" r:id="rId1"/>
  <rowBreaks count="1" manualBreakCount="1">
    <brk id="34" max="12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="85" zoomScaleSheetLayoutView="85" workbookViewId="0">
      <selection activeCell="D10" sqref="D10"/>
    </sheetView>
  </sheetViews>
  <sheetFormatPr defaultRowHeight="14.4" x14ac:dyDescent="0.3"/>
  <cols>
    <col min="1" max="1" width="25" customWidth="1"/>
    <col min="2" max="2" width="39" customWidth="1"/>
    <col min="3" max="3" width="18.33203125" customWidth="1"/>
    <col min="4" max="4" width="16.33203125" customWidth="1"/>
    <col min="5" max="5" width="18.44140625" customWidth="1"/>
  </cols>
  <sheetData>
    <row r="1" spans="1:5" ht="15.6" x14ac:dyDescent="0.3">
      <c r="A1" s="150"/>
      <c r="B1" s="150"/>
      <c r="C1" s="493" t="s">
        <v>669</v>
      </c>
      <c r="D1" s="493"/>
      <c r="E1" s="493"/>
    </row>
    <row r="2" spans="1:5" ht="15.6" customHeight="1" x14ac:dyDescent="0.3">
      <c r="A2" s="150"/>
      <c r="B2" s="182"/>
      <c r="C2" s="494" t="s">
        <v>596</v>
      </c>
      <c r="D2" s="494"/>
      <c r="E2" s="494"/>
    </row>
    <row r="3" spans="1:5" ht="15.6" x14ac:dyDescent="0.3">
      <c r="A3" s="150"/>
      <c r="B3" s="183"/>
      <c r="C3" s="493" t="s">
        <v>708</v>
      </c>
      <c r="D3" s="493"/>
      <c r="E3" s="493"/>
    </row>
    <row r="4" spans="1:5" ht="15.6" x14ac:dyDescent="0.3">
      <c r="A4" s="150"/>
      <c r="B4" s="184"/>
      <c r="C4" s="493" t="s">
        <v>924</v>
      </c>
      <c r="D4" s="493"/>
      <c r="E4" s="493"/>
    </row>
    <row r="5" spans="1:5" ht="15.6" x14ac:dyDescent="0.3">
      <c r="A5" s="150"/>
      <c r="B5" s="184"/>
      <c r="C5" s="185"/>
      <c r="D5" s="185"/>
      <c r="E5" s="185"/>
    </row>
    <row r="6" spans="1:5" ht="46.95" customHeight="1" x14ac:dyDescent="0.3">
      <c r="A6" s="483" t="s">
        <v>732</v>
      </c>
      <c r="B6" s="483"/>
      <c r="C6" s="483"/>
      <c r="D6" s="483"/>
      <c r="E6" s="483"/>
    </row>
    <row r="7" spans="1:5" x14ac:dyDescent="0.3">
      <c r="A7" s="150"/>
      <c r="B7" s="482" t="s">
        <v>593</v>
      </c>
      <c r="C7" s="482"/>
      <c r="D7" s="482"/>
      <c r="E7" s="482"/>
    </row>
    <row r="8" spans="1:5" ht="55.2" x14ac:dyDescent="0.3">
      <c r="A8" s="186" t="s">
        <v>709</v>
      </c>
      <c r="B8" s="186" t="s">
        <v>710</v>
      </c>
      <c r="C8" s="186" t="s">
        <v>664</v>
      </c>
      <c r="D8" s="186" t="s">
        <v>586</v>
      </c>
      <c r="E8" s="186" t="s">
        <v>665</v>
      </c>
    </row>
    <row r="9" spans="1:5" ht="15" hidden="1" x14ac:dyDescent="0.25">
      <c r="A9" s="187"/>
      <c r="B9" s="187"/>
      <c r="C9" s="187"/>
      <c r="D9" s="187"/>
      <c r="E9" s="187"/>
    </row>
    <row r="10" spans="1:5" ht="41.4" x14ac:dyDescent="0.3">
      <c r="A10" s="188" t="s">
        <v>711</v>
      </c>
      <c r="B10" s="189" t="s">
        <v>712</v>
      </c>
      <c r="C10" s="190">
        <f>C11</f>
        <v>18339.860790000064</v>
      </c>
      <c r="D10" s="190">
        <f>D11</f>
        <v>-2.3283064365386963E-10</v>
      </c>
      <c r="E10" s="190">
        <f>E11</f>
        <v>-3.4924596548080444E-10</v>
      </c>
    </row>
    <row r="11" spans="1:5" ht="27.6" x14ac:dyDescent="0.3">
      <c r="A11" s="188" t="s">
        <v>713</v>
      </c>
      <c r="B11" s="189" t="s">
        <v>714</v>
      </c>
      <c r="C11" s="190">
        <f>(C15+C16)</f>
        <v>18339.860790000064</v>
      </c>
      <c r="D11" s="190">
        <f>(D15+D16)</f>
        <v>-2.3283064365386963E-10</v>
      </c>
      <c r="E11" s="190">
        <f>(E15+E16)</f>
        <v>-3.4924596548080444E-10</v>
      </c>
    </row>
    <row r="12" spans="1:5" x14ac:dyDescent="0.3">
      <c r="A12" s="187" t="s">
        <v>715</v>
      </c>
      <c r="B12" s="191" t="s">
        <v>716</v>
      </c>
      <c r="C12" s="192">
        <f t="shared" ref="C12:E14" si="0">C13</f>
        <v>-1173581.01727</v>
      </c>
      <c r="D12" s="192">
        <f t="shared" si="0"/>
        <v>-916433.32519999996</v>
      </c>
      <c r="E12" s="192">
        <f t="shared" si="0"/>
        <v>-934235.61395000003</v>
      </c>
    </row>
    <row r="13" spans="1:5" ht="27.6" x14ac:dyDescent="0.3">
      <c r="A13" s="187" t="s">
        <v>717</v>
      </c>
      <c r="B13" s="191" t="s">
        <v>718</v>
      </c>
      <c r="C13" s="192">
        <f t="shared" si="0"/>
        <v>-1173581.01727</v>
      </c>
      <c r="D13" s="192">
        <f t="shared" si="0"/>
        <v>-916433.32519999996</v>
      </c>
      <c r="E13" s="192">
        <f t="shared" si="0"/>
        <v>-934235.61395000003</v>
      </c>
    </row>
    <row r="14" spans="1:5" ht="27.6" x14ac:dyDescent="0.3">
      <c r="A14" s="187" t="s">
        <v>719</v>
      </c>
      <c r="B14" s="191" t="s">
        <v>720</v>
      </c>
      <c r="C14" s="192">
        <f t="shared" si="0"/>
        <v>-1173581.01727</v>
      </c>
      <c r="D14" s="192">
        <f t="shared" si="0"/>
        <v>-916433.32519999996</v>
      </c>
      <c r="E14" s="192">
        <f t="shared" si="0"/>
        <v>-934235.61395000003</v>
      </c>
    </row>
    <row r="15" spans="1:5" ht="41.4" x14ac:dyDescent="0.3">
      <c r="A15" s="187" t="s">
        <v>721</v>
      </c>
      <c r="B15" s="191" t="s">
        <v>722</v>
      </c>
      <c r="C15" s="192">
        <v>-1173581.01727</v>
      </c>
      <c r="D15" s="192">
        <v>-916433.32519999996</v>
      </c>
      <c r="E15" s="192">
        <v>-934235.61395000003</v>
      </c>
    </row>
    <row r="16" spans="1:5" x14ac:dyDescent="0.3">
      <c r="A16" s="187" t="s">
        <v>723</v>
      </c>
      <c r="B16" s="191" t="s">
        <v>724</v>
      </c>
      <c r="C16" s="192">
        <f>'приложение 1'!F618</f>
        <v>1191920.87806</v>
      </c>
      <c r="D16" s="192">
        <f>D19</f>
        <v>916433.32519999973</v>
      </c>
      <c r="E16" s="192">
        <f>E19</f>
        <v>934235.61394999968</v>
      </c>
    </row>
    <row r="17" spans="1:5" ht="27.6" x14ac:dyDescent="0.3">
      <c r="A17" s="187" t="s">
        <v>725</v>
      </c>
      <c r="B17" s="191" t="s">
        <v>726</v>
      </c>
      <c r="C17" s="192">
        <f>C18</f>
        <v>1191920.87806</v>
      </c>
      <c r="D17" s="192">
        <f>D19</f>
        <v>916433.32519999973</v>
      </c>
      <c r="E17" s="192">
        <f>E19</f>
        <v>934235.61394999968</v>
      </c>
    </row>
    <row r="18" spans="1:5" ht="27.6" x14ac:dyDescent="0.3">
      <c r="A18" s="187" t="s">
        <v>727</v>
      </c>
      <c r="B18" s="191" t="s">
        <v>728</v>
      </c>
      <c r="C18" s="192">
        <f>C19</f>
        <v>1191920.87806</v>
      </c>
      <c r="D18" s="192">
        <f>D19</f>
        <v>916433.32519999973</v>
      </c>
      <c r="E18" s="192">
        <f>E19</f>
        <v>934235.61394999968</v>
      </c>
    </row>
    <row r="19" spans="1:5" ht="41.4" x14ac:dyDescent="0.3">
      <c r="A19" s="187" t="s">
        <v>729</v>
      </c>
      <c r="B19" s="191" t="s">
        <v>730</v>
      </c>
      <c r="C19" s="192">
        <f>'приложение 1'!F618</f>
        <v>1191920.87806</v>
      </c>
      <c r="D19" s="192">
        <f>'приложение 1'!I618+17597.77478</f>
        <v>916433.32519999973</v>
      </c>
      <c r="E19" s="192">
        <f>'приложение 1'!L618+26037.59136</f>
        <v>934235.61394999968</v>
      </c>
    </row>
    <row r="20" spans="1:5" x14ac:dyDescent="0.3">
      <c r="A20" s="193"/>
      <c r="B20" s="194" t="s">
        <v>731</v>
      </c>
      <c r="C20" s="195">
        <f>C10</f>
        <v>18339.860790000064</v>
      </c>
      <c r="D20" s="195">
        <f>D10</f>
        <v>-2.3283064365386963E-10</v>
      </c>
      <c r="E20" s="195">
        <f>E10</f>
        <v>-3.4924596548080444E-10</v>
      </c>
    </row>
    <row r="22" spans="1:5" x14ac:dyDescent="0.3">
      <c r="C22" s="196"/>
    </row>
  </sheetData>
  <mergeCells count="6">
    <mergeCell ref="B7:E7"/>
    <mergeCell ref="C1:E1"/>
    <mergeCell ref="C2:E2"/>
    <mergeCell ref="C3:E3"/>
    <mergeCell ref="C4:E4"/>
    <mergeCell ref="A6:E6"/>
  </mergeCells>
  <pageMargins left="0.9055118110236221" right="0.5118110236220472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BreakPreview" topLeftCell="A10" zoomScale="60" workbookViewId="0">
      <selection activeCell="C26" sqref="C26"/>
    </sheetView>
  </sheetViews>
  <sheetFormatPr defaultRowHeight="14.4" x14ac:dyDescent="0.3"/>
  <cols>
    <col min="1" max="1" width="41.6640625" customWidth="1"/>
    <col min="2" max="2" width="17.5546875" customWidth="1"/>
    <col min="3" max="3" width="14.6640625" customWidth="1"/>
    <col min="4" max="4" width="14.5546875" customWidth="1"/>
    <col min="5" max="5" width="14.109375" customWidth="1"/>
    <col min="6" max="6" width="48.6640625" customWidth="1"/>
  </cols>
  <sheetData>
    <row r="1" spans="1:6" ht="15" x14ac:dyDescent="0.25">
      <c r="C1">
        <v>2025</v>
      </c>
      <c r="D1">
        <v>2026</v>
      </c>
      <c r="E1">
        <v>2027</v>
      </c>
    </row>
    <row r="2" spans="1:6" ht="45" customHeight="1" x14ac:dyDescent="0.3">
      <c r="A2" s="484" t="s">
        <v>852</v>
      </c>
      <c r="B2" s="486" t="s">
        <v>28</v>
      </c>
      <c r="C2" s="330">
        <v>61.6</v>
      </c>
      <c r="D2" s="331">
        <v>43.5</v>
      </c>
      <c r="E2" s="331">
        <v>43.5</v>
      </c>
      <c r="F2" s="305" t="s">
        <v>858</v>
      </c>
    </row>
    <row r="3" spans="1:6" x14ac:dyDescent="0.3">
      <c r="A3" s="485"/>
      <c r="B3" s="487"/>
      <c r="C3" s="330">
        <v>-33.700000000000003</v>
      </c>
      <c r="D3" s="331">
        <v>-35</v>
      </c>
      <c r="E3" s="331">
        <v>-35</v>
      </c>
      <c r="F3" s="307" t="s">
        <v>859</v>
      </c>
    </row>
    <row r="4" spans="1:6" ht="28.8" x14ac:dyDescent="0.3">
      <c r="A4" s="339" t="s">
        <v>864</v>
      </c>
      <c r="B4" s="338"/>
      <c r="C4" s="331"/>
      <c r="D4" s="331"/>
      <c r="E4" s="331">
        <v>7500</v>
      </c>
      <c r="F4" s="320"/>
    </row>
    <row r="5" spans="1:6" ht="43.2" x14ac:dyDescent="0.3">
      <c r="A5" s="305" t="s">
        <v>125</v>
      </c>
      <c r="B5" s="306" t="s">
        <v>126</v>
      </c>
      <c r="C5" s="330">
        <v>1245.9000000000001</v>
      </c>
      <c r="D5" s="331"/>
      <c r="E5" s="331"/>
      <c r="F5" s="305" t="s">
        <v>860</v>
      </c>
    </row>
    <row r="6" spans="1:6" ht="28.8" x14ac:dyDescent="0.3">
      <c r="A6" s="305" t="s">
        <v>618</v>
      </c>
      <c r="B6" s="306" t="s">
        <v>617</v>
      </c>
      <c r="C6" s="330">
        <f>127.5</f>
        <v>127.5</v>
      </c>
      <c r="D6" s="331"/>
      <c r="E6" s="331"/>
      <c r="F6" s="305"/>
    </row>
    <row r="7" spans="1:6" x14ac:dyDescent="0.3">
      <c r="A7" s="340" t="s">
        <v>868</v>
      </c>
      <c r="B7" s="341"/>
      <c r="C7" s="342">
        <v>167</v>
      </c>
      <c r="D7" s="342"/>
      <c r="E7" s="342"/>
      <c r="F7" s="340"/>
    </row>
    <row r="8" spans="1:6" ht="115.2" x14ac:dyDescent="0.3">
      <c r="A8" s="318" t="s">
        <v>646</v>
      </c>
      <c r="B8" s="319" t="s">
        <v>97</v>
      </c>
      <c r="C8" s="331">
        <v>-100</v>
      </c>
      <c r="D8" s="331"/>
      <c r="E8" s="331"/>
      <c r="F8" s="318"/>
    </row>
    <row r="9" spans="1:6" ht="28.8" x14ac:dyDescent="0.3">
      <c r="A9" s="318" t="s">
        <v>145</v>
      </c>
      <c r="B9" s="319" t="s">
        <v>146</v>
      </c>
      <c r="C9" s="331">
        <v>-67</v>
      </c>
      <c r="D9" s="331"/>
      <c r="E9" s="331"/>
      <c r="F9" s="318"/>
    </row>
    <row r="10" spans="1:6" ht="57.6" x14ac:dyDescent="0.3">
      <c r="A10" s="318" t="s">
        <v>109</v>
      </c>
      <c r="B10" s="319" t="s">
        <v>110</v>
      </c>
      <c r="C10" s="331">
        <v>-5.2630000000000003E-2</v>
      </c>
      <c r="D10" s="331"/>
      <c r="E10" s="331"/>
      <c r="F10" s="318"/>
    </row>
    <row r="11" spans="1:6" ht="57.6" x14ac:dyDescent="0.3">
      <c r="A11" s="318" t="s">
        <v>107</v>
      </c>
      <c r="B11" s="319" t="s">
        <v>108</v>
      </c>
      <c r="C11" s="331">
        <v>-0.10526000000000001</v>
      </c>
      <c r="D11" s="331"/>
      <c r="E11" s="331"/>
      <c r="F11" s="318"/>
    </row>
    <row r="12" spans="1:6" ht="43.2" x14ac:dyDescent="0.3">
      <c r="A12" s="318" t="s">
        <v>605</v>
      </c>
      <c r="B12" s="319" t="s">
        <v>743</v>
      </c>
      <c r="C12" s="331">
        <v>-52.797190000000001</v>
      </c>
      <c r="D12" s="331"/>
      <c r="E12" s="331"/>
      <c r="F12" s="320"/>
    </row>
    <row r="13" spans="1:6" x14ac:dyDescent="0.3">
      <c r="A13" s="305" t="s">
        <v>862</v>
      </c>
      <c r="B13" s="306"/>
      <c r="C13" s="330">
        <v>52.797190000000001</v>
      </c>
      <c r="D13" s="331"/>
      <c r="E13" s="331"/>
      <c r="F13" s="307"/>
    </row>
    <row r="14" spans="1:6" ht="28.8" x14ac:dyDescent="0.3">
      <c r="A14" s="305" t="s">
        <v>877</v>
      </c>
      <c r="B14" s="306"/>
      <c r="C14" s="330">
        <v>330.9</v>
      </c>
      <c r="D14" s="331"/>
      <c r="E14" s="331"/>
      <c r="F14" s="307"/>
    </row>
    <row r="15" spans="1:6" ht="43.2" x14ac:dyDescent="0.3">
      <c r="A15" s="318" t="s">
        <v>337</v>
      </c>
      <c r="B15" s="319" t="s">
        <v>338</v>
      </c>
      <c r="C15" s="331">
        <f>-640.76666-200</f>
        <v>-840.76666</v>
      </c>
      <c r="D15" s="331"/>
      <c r="E15" s="331"/>
      <c r="F15" s="320"/>
    </row>
    <row r="16" spans="1:6" ht="43.2" x14ac:dyDescent="0.3">
      <c r="A16" s="318" t="s">
        <v>611</v>
      </c>
      <c r="B16" s="319" t="s">
        <v>610</v>
      </c>
      <c r="C16" s="331">
        <v>280</v>
      </c>
      <c r="D16" s="331"/>
      <c r="E16" s="331"/>
      <c r="F16" s="320"/>
    </row>
    <row r="17" spans="1:6" ht="28.8" x14ac:dyDescent="0.3">
      <c r="A17" s="318" t="s">
        <v>328</v>
      </c>
      <c r="B17" s="319" t="s">
        <v>329</v>
      </c>
      <c r="C17" s="331">
        <v>-80</v>
      </c>
      <c r="D17" s="331"/>
      <c r="E17" s="331"/>
      <c r="F17" s="320"/>
    </row>
    <row r="18" spans="1:6" x14ac:dyDescent="0.3">
      <c r="A18" s="318" t="s">
        <v>863</v>
      </c>
      <c r="B18" s="319"/>
      <c r="C18" s="331">
        <v>640.76666</v>
      </c>
      <c r="D18" s="331"/>
      <c r="E18" s="331"/>
      <c r="F18" s="320"/>
    </row>
    <row r="19" spans="1:6" x14ac:dyDescent="0.3">
      <c r="A19" s="305" t="s">
        <v>861</v>
      </c>
      <c r="B19" s="306"/>
      <c r="C19" s="330">
        <v>32.700000000000003</v>
      </c>
      <c r="D19" s="331">
        <v>300.39999999999998</v>
      </c>
      <c r="E19" s="331"/>
      <c r="F19" s="307"/>
    </row>
    <row r="20" spans="1:6" ht="28.8" x14ac:dyDescent="0.3">
      <c r="A20" s="305" t="s">
        <v>433</v>
      </c>
      <c r="B20" s="306" t="s">
        <v>839</v>
      </c>
      <c r="C20" s="330"/>
      <c r="D20" s="331">
        <v>488.3</v>
      </c>
      <c r="E20" s="331"/>
      <c r="F20" s="307"/>
    </row>
    <row r="21" spans="1:6" ht="28.8" x14ac:dyDescent="0.3">
      <c r="A21" s="318" t="s">
        <v>425</v>
      </c>
      <c r="B21" s="319" t="s">
        <v>426</v>
      </c>
      <c r="C21" s="331"/>
      <c r="D21" s="331">
        <v>127.23157</v>
      </c>
      <c r="E21" s="331"/>
      <c r="F21" s="320"/>
    </row>
    <row r="22" spans="1:6" ht="28.8" x14ac:dyDescent="0.3">
      <c r="A22" s="305" t="s">
        <v>511</v>
      </c>
      <c r="B22" s="306" t="s">
        <v>512</v>
      </c>
      <c r="C22" s="306">
        <v>779.8</v>
      </c>
      <c r="D22" s="319">
        <v>1378.4</v>
      </c>
      <c r="E22" s="319">
        <v>1378.4</v>
      </c>
      <c r="F22" s="307"/>
    </row>
    <row r="23" spans="1:6" ht="43.2" x14ac:dyDescent="0.3">
      <c r="A23" s="305" t="s">
        <v>848</v>
      </c>
      <c r="B23" s="306" t="s">
        <v>537</v>
      </c>
      <c r="C23" s="330">
        <v>156.1</v>
      </c>
      <c r="D23" s="331">
        <f>185.7+170+89.9</f>
        <v>445.6</v>
      </c>
      <c r="E23" s="331"/>
      <c r="F23" s="307"/>
    </row>
    <row r="24" spans="1:6" ht="28.8" x14ac:dyDescent="0.3">
      <c r="A24" s="358" t="s">
        <v>534</v>
      </c>
      <c r="B24" s="359" t="s">
        <v>535</v>
      </c>
      <c r="C24" s="436">
        <v>700</v>
      </c>
      <c r="D24" s="436"/>
      <c r="E24" s="436"/>
      <c r="F24" s="360"/>
    </row>
    <row r="25" spans="1:6" ht="28.8" x14ac:dyDescent="0.3">
      <c r="A25" s="305" t="s">
        <v>851</v>
      </c>
      <c r="B25" s="306" t="s">
        <v>850</v>
      </c>
      <c r="C25" s="306">
        <f>3088.8+45.3+519.9-270-700</f>
        <v>2684.0000000000005</v>
      </c>
      <c r="D25" s="319"/>
      <c r="E25" s="319"/>
      <c r="F25" s="307"/>
    </row>
    <row r="26" spans="1:6" x14ac:dyDescent="0.3">
      <c r="A26" s="358" t="s">
        <v>869</v>
      </c>
      <c r="B26" s="359"/>
      <c r="C26" s="359">
        <v>270</v>
      </c>
      <c r="D26" s="359"/>
      <c r="E26" s="359"/>
      <c r="F26" s="360"/>
    </row>
    <row r="27" spans="1:6" x14ac:dyDescent="0.3">
      <c r="A27" s="305" t="s">
        <v>849</v>
      </c>
      <c r="B27" s="306"/>
      <c r="C27" s="306">
        <f>SUM(C2:C26)</f>
        <v>6354.6421100000007</v>
      </c>
      <c r="D27" s="306">
        <f>SUM(D2:D25)</f>
        <v>2748.4315700000002</v>
      </c>
      <c r="E27" s="306">
        <f>SUM(E2:E25)</f>
        <v>8886.9</v>
      </c>
      <c r="F27" s="306"/>
    </row>
    <row r="28" spans="1:6" x14ac:dyDescent="0.3">
      <c r="A28" s="304" t="s">
        <v>865</v>
      </c>
      <c r="B28" s="328"/>
      <c r="C28" s="327">
        <v>6354.7</v>
      </c>
      <c r="D28" s="329">
        <v>-48.3</v>
      </c>
      <c r="E28" s="329">
        <v>-48.3</v>
      </c>
    </row>
    <row r="29" spans="1:6" x14ac:dyDescent="0.3">
      <c r="A29" s="304" t="s">
        <v>866</v>
      </c>
      <c r="B29" s="328"/>
      <c r="C29" s="327"/>
      <c r="D29" s="329">
        <v>23016.806349999999</v>
      </c>
      <c r="E29" s="329">
        <v>34972.791360000003</v>
      </c>
    </row>
    <row r="30" spans="1:6" x14ac:dyDescent="0.3">
      <c r="A30" s="304" t="s">
        <v>867</v>
      </c>
      <c r="B30" s="328"/>
      <c r="C30" s="329"/>
      <c r="D30" s="329">
        <f>D29-D27+D28</f>
        <v>20220.074779999999</v>
      </c>
      <c r="E30" s="329">
        <f>E29-E27+E28</f>
        <v>26037.591360000002</v>
      </c>
    </row>
    <row r="31" spans="1:6" ht="15" x14ac:dyDescent="0.25">
      <c r="A31" s="304"/>
      <c r="B31" s="328"/>
    </row>
    <row r="32" spans="1:6" ht="15" x14ac:dyDescent="0.25">
      <c r="A32" s="304"/>
      <c r="C32">
        <f>C28-C27</f>
        <v>5.7889999999133579E-2</v>
      </c>
    </row>
    <row r="33" spans="1:1" ht="15" x14ac:dyDescent="0.25">
      <c r="A33" s="304"/>
    </row>
    <row r="34" spans="1:1" ht="15" x14ac:dyDescent="0.25">
      <c r="A34" s="304"/>
    </row>
  </sheetData>
  <mergeCells count="2">
    <mergeCell ref="A2:A3"/>
    <mergeCell ref="B2:B3"/>
  </mergeCells>
  <pageMargins left="0.7" right="0.7" top="0.75" bottom="0.75" header="0.3" footer="0.3"/>
  <pageSetup paperSize="9" scale="73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приложение 1</vt:lpstr>
      <vt:lpstr>Приложение 2</vt:lpstr>
      <vt:lpstr>Приложение 4</vt:lpstr>
      <vt:lpstr>Приложение 5</vt:lpstr>
      <vt:lpstr>свод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  <vt:lpstr>свод!Область_печати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2025-06-26T09:30:19Z</cp:lastPrinted>
  <dcterms:created xsi:type="dcterms:W3CDTF">2024-10-23T06:02:00Z</dcterms:created>
  <dcterms:modified xsi:type="dcterms:W3CDTF">2025-06-26T09:31:26Z</dcterms:modified>
</cp:coreProperties>
</file>